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charts/chart8.xml" ContentType="application/vnd.openxmlformats-officedocument.drawingml.chart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harts/chart9.xml" ContentType="application/vnd.openxmlformats-officedocument.drawingml.chart+xml"/>
  <Override PartName="/xl/drawings/drawing13.xml" ContentType="application/vnd.openxmlformats-officedocument.drawing+xml"/>
  <Override PartName="/xl/charts/chart10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4.xml" ContentType="application/vnd.openxmlformats-officedocument.drawing+xml"/>
  <Override PartName="/xl/charts/chart11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17.xml" ContentType="application/vnd.openxmlformats-officedocument.drawing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8.xml" ContentType="application/vnd.openxmlformats-officedocument.drawing+xml"/>
  <Override PartName="/xl/charts/chart34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harts/chart35.xml" ContentType="application/vnd.openxmlformats-officedocument.drawingml.chart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omments4.xml" ContentType="application/vnd.openxmlformats-officedocument.spreadsheetml.comments+xml"/>
  <Override PartName="/xl/charts/chart36.xml" ContentType="application/vnd.openxmlformats-officedocument.drawingml.chart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harts/chart37.xml" ContentType="application/vnd.openxmlformats-officedocument.drawingml.chart+xml"/>
  <Override PartName="/xl/drawings/drawing26.xml" ContentType="application/vnd.openxmlformats-officedocument.drawing+xml"/>
  <Override PartName="/xl/charts/chart3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charts/chart3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9.xml" ContentType="application/vnd.openxmlformats-officedocument.drawing+xml"/>
  <Override PartName="/xl/comments5.xml" ContentType="application/vnd.openxmlformats-officedocument.spreadsheetml.comments+xml"/>
  <Override PartName="/xl/charts/chart4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4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4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4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4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4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DieseArbeitsmappe"/>
  <mc:AlternateContent xmlns:mc="http://schemas.openxmlformats.org/markup-compatibility/2006">
    <mc:Choice Requires="x15">
      <x15ac:absPath xmlns:x15ac="http://schemas.microsoft.com/office/spreadsheetml/2010/11/ac" url="D:\Dropbox\@fileswork\@iManagement\"/>
    </mc:Choice>
  </mc:AlternateContent>
  <xr:revisionPtr revIDLastSave="0" documentId="13_ncr:1_{FDFDF4FC-DACA-4F38-8AE6-FB82C656BC63}" xr6:coauthVersionLast="47" xr6:coauthVersionMax="47" xr10:uidLastSave="{00000000-0000-0000-0000-000000000000}"/>
  <bookViews>
    <workbookView showSheetTabs="0" xWindow="-108" yWindow="-108" windowWidth="46296" windowHeight="25416" tabRatio="832" firstSheet="1" activeTab="1" xr2:uid="{00000000-000D-0000-FFFF-FFFF00000000}"/>
  </bookViews>
  <sheets>
    <sheet name=" " sheetId="2" state="veryHidden" r:id="rId1"/>
    <sheet name="MenuChange" sheetId="69" r:id="rId2"/>
    <sheet name="Dringlichkeit" sheetId="70" r:id="rId3"/>
    <sheet name="Risikomgmt" sheetId="34" r:id="rId4"/>
    <sheet name="Benchmark" sheetId="37" r:id="rId5"/>
    <sheet name="Reklamationen" sheetId="53" r:id="rId6"/>
    <sheet name="Fehler" sheetId="52" r:id="rId7"/>
    <sheet name="Eisenhower" sheetId="87" r:id="rId8"/>
    <sheet name="Swot-Analyse" sheetId="18" r:id="rId9"/>
    <sheet name="Trends" sheetId="13" r:id="rId10"/>
    <sheet name="Consumer_Trend" sheetId="77" r:id="rId11"/>
    <sheet name="Fuehrung" sheetId="88" r:id="rId12"/>
    <sheet name="Stakeholder" sheetId="71" r:id="rId13"/>
    <sheet name="Struktur" sheetId="81" r:id="rId14"/>
    <sheet name="Systeme" sheetId="83" r:id="rId15"/>
    <sheet name="Canvas" sheetId="76" r:id="rId16"/>
    <sheet name="Forces" sheetId="38" r:id="rId17"/>
    <sheet name="Chances" sheetId="39" r:id="rId18"/>
    <sheet name="Prozesse" sheetId="54" r:id="rId19"/>
    <sheet name="Massnahmen" sheetId="65" r:id="rId20"/>
    <sheet name="Personal" sheetId="80" r:id="rId21"/>
    <sheet name="Cockpit" sheetId="66" r:id="rId22"/>
    <sheet name="Kernkompetenzen" sheetId="84" r:id="rId23"/>
    <sheet name="Leadership" sheetId="86" r:id="rId24"/>
    <sheet name="Fishbone" sheetId="78" r:id="rId25"/>
    <sheet name="KostenNutzen" sheetId="19" r:id="rId26"/>
    <sheet name="MatrixIdee" sheetId="24" r:id="rId27"/>
    <sheet name="KPI" sheetId="46" r:id="rId28"/>
    <sheet name="Pareto" sheetId="1" r:id="rId29"/>
    <sheet name="Kommunikation" sheetId="23" r:id="rId30"/>
    <sheet name="Lewin" sheetId="89" r:id="rId31"/>
    <sheet name="2Cockpit" sheetId="41" r:id="rId32"/>
    <sheet name="2Strategie" sheetId="45" r:id="rId33"/>
    <sheet name="2BP" sheetId="50" r:id="rId34"/>
    <sheet name="2BSC" sheetId="59" r:id="rId35"/>
    <sheet name="2Projektmgmt" sheetId="75" r:id="rId36"/>
    <sheet name="oIndikatoren" sheetId="68" r:id="rId37"/>
    <sheet name="sIndikatoren" sheetId="67" r:id="rId38"/>
    <sheet name="Logo" sheetId="90" r:id="rId39"/>
  </sheets>
  <externalReferences>
    <externalReference r:id="rId40"/>
  </externalReferences>
  <definedNames>
    <definedName name="__10">oIndikatoren!$A$113</definedName>
    <definedName name="__11">oIndikatoren!$A$125</definedName>
    <definedName name="__12">oIndikatoren!$A$137</definedName>
    <definedName name="__13">oIndikatoren!$A$149</definedName>
    <definedName name="__14">oIndikatoren!$A$161</definedName>
    <definedName name="__15">oIndikatoren!$A$173</definedName>
    <definedName name="__16">oIndikatoren!$A$185</definedName>
    <definedName name="__17">oIndikatoren!$A$197</definedName>
    <definedName name="__18">oIndikatoren!$A$209</definedName>
    <definedName name="__19">oIndikatoren!$A$221</definedName>
    <definedName name="__20">oIndikatoren!$A$233</definedName>
    <definedName name="__21">oIndikatoren!$A$245</definedName>
    <definedName name="__22">oIndikatoren!$A$257</definedName>
    <definedName name="__23">oIndikatoren!$A$269</definedName>
    <definedName name="__24">oIndikatoren!$A$281</definedName>
    <definedName name="__25">oIndikatoren!$A$293</definedName>
    <definedName name="__26">oIndikatoren!$A$305</definedName>
    <definedName name="__27">oIndikatoren!$A$317</definedName>
    <definedName name="__28">oIndikatoren!$A$329</definedName>
    <definedName name="__29">oIndikatoren!$A$341</definedName>
    <definedName name="__30">oIndikatoren!$A$353</definedName>
    <definedName name="__31">oIndikatoren!$A$365</definedName>
    <definedName name="__32">oIndikatoren!$A$377</definedName>
    <definedName name="__33">oIndikatoren!$A$389</definedName>
    <definedName name="__34">oIndikatoren!$A$401</definedName>
    <definedName name="__35">oIndikatoren!$A$413</definedName>
    <definedName name="__36">oIndikatoren!$A$425</definedName>
    <definedName name="__37">oIndikatoren!$A$437</definedName>
    <definedName name="__38">oIndikatoren!$A$449</definedName>
    <definedName name="__39">oIndikatoren!$A$461</definedName>
    <definedName name="__40">oIndikatoren!$A$473</definedName>
    <definedName name="__41">oIndikatoren!$A$485</definedName>
    <definedName name="__42">oIndikatoren!$A$497</definedName>
    <definedName name="__43">oIndikatoren!$A$509</definedName>
    <definedName name="__44">oIndikatoren!$A$521</definedName>
    <definedName name="__45">oIndikatoren!$A$533</definedName>
    <definedName name="__46">oIndikatoren!$A$545</definedName>
    <definedName name="__47">oIndikatoren!$A$557</definedName>
    <definedName name="__48">oIndikatoren!$A$569</definedName>
    <definedName name="__49">oIndikatoren!$A$581</definedName>
    <definedName name="__50">oIndikatoren!$A$593</definedName>
    <definedName name="__51">oIndikatoren!$A$605</definedName>
    <definedName name="__52">oIndikatoren!$A$617</definedName>
    <definedName name="__53">oIndikatoren!$A$629</definedName>
    <definedName name="__54">oIndikatoren!$A$641</definedName>
    <definedName name="__55">oIndikatoren!$A$653</definedName>
    <definedName name="__56">oIndikatoren!$A$665</definedName>
    <definedName name="__57">oIndikatoren!$A$677</definedName>
    <definedName name="__58">oIndikatoren!$A$689</definedName>
    <definedName name="__59">oIndikatoren!$A$701</definedName>
    <definedName name="__60">oIndikatoren!$A$713</definedName>
    <definedName name="__61">oIndikatoren!$A$725</definedName>
    <definedName name="__62">oIndikatoren!$A$737</definedName>
    <definedName name="__63">oIndikatoren!$A$749</definedName>
    <definedName name="__64">oIndikatoren!$A$761</definedName>
    <definedName name="__65">oIndikatoren!$A$773</definedName>
    <definedName name="__66">oIndikatoren!$A$785</definedName>
    <definedName name="__67">oIndikatoren!$A$797</definedName>
    <definedName name="__68">oIndikatoren!$A$809</definedName>
    <definedName name="__69">oIndikatoren!$A$821</definedName>
    <definedName name="__70">oIndikatoren!$A$833</definedName>
    <definedName name="__71">oIndikatoren!$A$845</definedName>
    <definedName name="__72">oIndikatoren!$A$857</definedName>
    <definedName name="__73">oIndikatoren!$A$869</definedName>
    <definedName name="__74">oIndikatoren!$A$881</definedName>
    <definedName name="__75">oIndikatoren!$A$893</definedName>
    <definedName name="__76">oIndikatoren!$A$905</definedName>
    <definedName name="__77">oIndikatoren!$A$917</definedName>
    <definedName name="__78">oIndikatoren!$A$929</definedName>
    <definedName name="__79">oIndikatoren!$A$941</definedName>
    <definedName name="__80">oIndikatoren!$A$953</definedName>
    <definedName name="__o1">oIndikatoren!$A$5</definedName>
    <definedName name="__o2">oIndikatoren!$A$17</definedName>
    <definedName name="__o3">oIndikatoren!$A$29</definedName>
    <definedName name="__o4">oIndikatoren!$A$41</definedName>
    <definedName name="__o5">oIndikatoren!$A$53</definedName>
    <definedName name="__o6">oIndikatoren!$A$65</definedName>
    <definedName name="__o7">oIndikatoren!$A$77</definedName>
    <definedName name="__o8">oIndikatoren!$A$89</definedName>
    <definedName name="__o9">oIndikatoren!$A$101</definedName>
    <definedName name="__s1" localSheetId="21">Cockpit!$E$7</definedName>
    <definedName name="__s1">Massnahmen!$E$7</definedName>
    <definedName name="__s10" localSheetId="21">Cockpit!$E$25</definedName>
    <definedName name="__s10">Massnahmen!$E$25</definedName>
    <definedName name="__s11" localSheetId="21">Cockpit!$E$27</definedName>
    <definedName name="__s11">Massnahmen!$E$27</definedName>
    <definedName name="__s12" localSheetId="21">Cockpit!$E$29</definedName>
    <definedName name="__s12">Massnahmen!$E$29</definedName>
    <definedName name="__s13" localSheetId="21">Cockpit!$E$31</definedName>
    <definedName name="__s13">Massnahmen!$E$31</definedName>
    <definedName name="__s14" localSheetId="21">Cockpit!$E$33</definedName>
    <definedName name="__s14">Massnahmen!$E$33</definedName>
    <definedName name="__s15" localSheetId="21">Cockpit!$E$35</definedName>
    <definedName name="__s15">Massnahmen!$E$35</definedName>
    <definedName name="__s16" localSheetId="21">Cockpit!$E$37</definedName>
    <definedName name="__s16">Massnahmen!$E$37</definedName>
    <definedName name="__s17" localSheetId="21">Cockpit!$E$39</definedName>
    <definedName name="__s17">Massnahmen!$E$39</definedName>
    <definedName name="__s18" localSheetId="21">Cockpit!$E$41</definedName>
    <definedName name="__s18">Massnahmen!$E$41</definedName>
    <definedName name="__s19" localSheetId="21">Cockpit!$E$43</definedName>
    <definedName name="__s19">Massnahmen!$E$43</definedName>
    <definedName name="__s2" localSheetId="21">Cockpit!$E$9</definedName>
    <definedName name="__s2">Massnahmen!$E$9</definedName>
    <definedName name="__s20" localSheetId="21">Cockpit!$E$45</definedName>
    <definedName name="__s20">Massnahmen!$E$45</definedName>
    <definedName name="__s21" localSheetId="21">Cockpit!$E$47</definedName>
    <definedName name="__s21">Massnahmen!$E$47</definedName>
    <definedName name="__s22" localSheetId="21">Cockpit!$E$49</definedName>
    <definedName name="__s22">Massnahmen!$E$49</definedName>
    <definedName name="__s23" localSheetId="21">Cockpit!$E$51</definedName>
    <definedName name="__s23">Massnahmen!$E$51</definedName>
    <definedName name="__s24" localSheetId="21">Cockpit!$E$53</definedName>
    <definedName name="__s24">Massnahmen!$E$53</definedName>
    <definedName name="__s25" localSheetId="21">Cockpit!$E$55</definedName>
    <definedName name="__s25">Massnahmen!$E$55</definedName>
    <definedName name="__s26" localSheetId="21">Cockpit!$E$57</definedName>
    <definedName name="__s26">Massnahmen!$E$57</definedName>
    <definedName name="__s27" localSheetId="21">Cockpit!$E$59</definedName>
    <definedName name="__s27">Massnahmen!$E$59</definedName>
    <definedName name="__s28" localSheetId="21">Cockpit!$E$61</definedName>
    <definedName name="__s28">Massnahmen!$E$61</definedName>
    <definedName name="__s29" localSheetId="21">Cockpit!$E$63</definedName>
    <definedName name="__s29">Massnahmen!$E$63</definedName>
    <definedName name="__s3" localSheetId="21">Cockpit!$E$11</definedName>
    <definedName name="__s3">Massnahmen!$E$11</definedName>
    <definedName name="__s30" localSheetId="21">Cockpit!$E$65</definedName>
    <definedName name="__s30">Massnahmen!$E$65</definedName>
    <definedName name="__s31" localSheetId="21">Cockpit!$E$67</definedName>
    <definedName name="__s31">Massnahmen!$E$67</definedName>
    <definedName name="__s32" localSheetId="21">Cockpit!$E$69</definedName>
    <definedName name="__s32">Massnahmen!$E$69</definedName>
    <definedName name="__s33" localSheetId="21">Cockpit!$E$71</definedName>
    <definedName name="__s33">Massnahmen!$E$71</definedName>
    <definedName name="__s34" localSheetId="21">Cockpit!$E$73</definedName>
    <definedName name="__s34">Massnahmen!$E$73</definedName>
    <definedName name="__s35" localSheetId="21">Cockpit!$E$75</definedName>
    <definedName name="__s35">Massnahmen!$E$75</definedName>
    <definedName name="__s36" localSheetId="21">Cockpit!$E$77</definedName>
    <definedName name="__s36">Massnahmen!$E$77</definedName>
    <definedName name="__s37" localSheetId="21">Cockpit!$E$79</definedName>
    <definedName name="__s37">Massnahmen!$E$79</definedName>
    <definedName name="__s38" localSheetId="21">Cockpit!$E$81</definedName>
    <definedName name="__s38">Massnahmen!$E$81</definedName>
    <definedName name="__s39" localSheetId="21">Cockpit!$E$83</definedName>
    <definedName name="__s39">Massnahmen!$E$83</definedName>
    <definedName name="__s4" localSheetId="21">Cockpit!$E$13</definedName>
    <definedName name="__s4">Massnahmen!$E$13</definedName>
    <definedName name="__s40" localSheetId="21">Cockpit!$E$85</definedName>
    <definedName name="__s40">Massnahmen!$E$85</definedName>
    <definedName name="__s5" localSheetId="21">Cockpit!$E$15</definedName>
    <definedName name="__s5">Massnahmen!$E$15</definedName>
    <definedName name="__s6" localSheetId="21">Cockpit!$E$17</definedName>
    <definedName name="__s6">Massnahmen!$E$17</definedName>
    <definedName name="__s7" localSheetId="21">Cockpit!$E$19</definedName>
    <definedName name="__s7">Massnahmen!$E$19</definedName>
    <definedName name="__s8" localSheetId="21">Cockpit!$E$21</definedName>
    <definedName name="__s8">Massnahmen!$E$21</definedName>
    <definedName name="__s9" localSheetId="21">Cockpit!$E$23</definedName>
    <definedName name="__s9">Massnahmen!$E$23</definedName>
    <definedName name="_xlnm._FilterDatabase" localSheetId="0" hidden="1">' '!$1:$793</definedName>
    <definedName name="_xlnm._FilterDatabase" localSheetId="21" hidden="1">Cockpit!$A$6:$N$87</definedName>
    <definedName name="_xlnm._FilterDatabase" localSheetId="11" hidden="1">Fuehrung!#REF!</definedName>
    <definedName name="_xlnm._FilterDatabase" localSheetId="19" hidden="1">Massnahmen!$A$6:$W$87</definedName>
    <definedName name="_o1">Massnahmen!$P$7</definedName>
    <definedName name="_o10">Massnahmen!$P$16</definedName>
    <definedName name="_o11">Massnahmen!$P$17</definedName>
    <definedName name="_o12">Massnahmen!$P$18</definedName>
    <definedName name="_o13">Massnahmen!$P$19</definedName>
    <definedName name="_o14">Massnahmen!$P$20</definedName>
    <definedName name="_o15">Massnahmen!$P$21</definedName>
    <definedName name="_o16">Massnahmen!$P$22</definedName>
    <definedName name="_o17">Massnahmen!$P$23</definedName>
    <definedName name="_o18">Massnahmen!$P$24</definedName>
    <definedName name="_o19">Massnahmen!$P$25</definedName>
    <definedName name="_o2">Massnahmen!$P$8</definedName>
    <definedName name="_o20">Massnahmen!$P$26</definedName>
    <definedName name="_o21">Massnahmen!$P$27</definedName>
    <definedName name="_o22">Massnahmen!$P$28</definedName>
    <definedName name="_o23">Massnahmen!$P$29</definedName>
    <definedName name="_o24">Massnahmen!$P$30</definedName>
    <definedName name="_o25">Massnahmen!$P$31</definedName>
    <definedName name="_o26">Massnahmen!$P$32</definedName>
    <definedName name="_o27">Massnahmen!$P$33</definedName>
    <definedName name="_o28">Massnahmen!$P$34</definedName>
    <definedName name="_o29">Massnahmen!$P$35</definedName>
    <definedName name="_o3">Massnahmen!$P$9</definedName>
    <definedName name="_o30">Massnahmen!$P$36</definedName>
    <definedName name="_o31">Massnahmen!$P$37</definedName>
    <definedName name="_o32">Massnahmen!$P$38</definedName>
    <definedName name="_o33">Massnahmen!$P$39</definedName>
    <definedName name="_o34">Massnahmen!$P$40</definedName>
    <definedName name="_o35">Massnahmen!$P$41</definedName>
    <definedName name="_o36">Massnahmen!$P$42</definedName>
    <definedName name="_o37">Massnahmen!$P$43</definedName>
    <definedName name="_o38">Massnahmen!$P$44</definedName>
    <definedName name="_o39">Massnahmen!$P$45</definedName>
    <definedName name="_o4">Massnahmen!$P$10</definedName>
    <definedName name="_o40">Massnahmen!$P$46</definedName>
    <definedName name="_o41">Massnahmen!$P$47</definedName>
    <definedName name="_o42">Massnahmen!$P$48</definedName>
    <definedName name="_o43">Massnahmen!$P$49</definedName>
    <definedName name="_o44">Massnahmen!$P$50</definedName>
    <definedName name="_o45">Massnahmen!$P$51</definedName>
    <definedName name="_o46">Massnahmen!$P$52</definedName>
    <definedName name="_o47">Massnahmen!$P$53</definedName>
    <definedName name="_o48">Massnahmen!$P$54</definedName>
    <definedName name="_o49">Massnahmen!$P$55</definedName>
    <definedName name="_o5">Massnahmen!$P$11</definedName>
    <definedName name="_o50">Massnahmen!$P$56</definedName>
    <definedName name="_o51">Massnahmen!$P$57</definedName>
    <definedName name="_o52">Massnahmen!$P$58</definedName>
    <definedName name="_o53">Massnahmen!$P$59</definedName>
    <definedName name="_o54">Massnahmen!$P$60</definedName>
    <definedName name="_o55">Massnahmen!$P$61</definedName>
    <definedName name="_o56">Massnahmen!$P$62</definedName>
    <definedName name="_o57">Massnahmen!$P$63</definedName>
    <definedName name="_o58">Massnahmen!$P$64</definedName>
    <definedName name="_o59">Massnahmen!$P$65</definedName>
    <definedName name="_o6">Massnahmen!$P$12</definedName>
    <definedName name="_o60">Massnahmen!$P$66</definedName>
    <definedName name="_o61">Massnahmen!$P$67</definedName>
    <definedName name="_o62">Massnahmen!$P$68</definedName>
    <definedName name="_o63">Massnahmen!$P$69</definedName>
    <definedName name="_o64">Massnahmen!$P$70</definedName>
    <definedName name="_o65">Massnahmen!$P$71</definedName>
    <definedName name="_o66">Massnahmen!$P$72</definedName>
    <definedName name="_o67">Massnahmen!$P$73</definedName>
    <definedName name="_o68">Massnahmen!$P$74</definedName>
    <definedName name="_o69">Massnahmen!$P$75</definedName>
    <definedName name="_o7">Massnahmen!$P$13</definedName>
    <definedName name="_o70">Massnahmen!$P$76</definedName>
    <definedName name="_o71">Massnahmen!$P$77</definedName>
    <definedName name="_o72">Massnahmen!$P$78</definedName>
    <definedName name="_o73">Massnahmen!$P$79</definedName>
    <definedName name="_o74">Massnahmen!$P$80</definedName>
    <definedName name="_o75">Massnahmen!$P$81</definedName>
    <definedName name="_o76">Massnahmen!$P$82</definedName>
    <definedName name="_o77">Massnahmen!$P$83</definedName>
    <definedName name="_o78">Massnahmen!$P$84</definedName>
    <definedName name="_o79">Massnahmen!$P$85</definedName>
    <definedName name="_o8">Massnahmen!$P$14</definedName>
    <definedName name="_o80">Massnahmen!$P$86</definedName>
    <definedName name="_o9">Massnahmen!$P$15</definedName>
    <definedName name="_s1">sIndikatoren!$A$5</definedName>
    <definedName name="_s10">sIndikatoren!$A$113</definedName>
    <definedName name="_s11">sIndikatoren!$A$125</definedName>
    <definedName name="_s12">sIndikatoren!$A$137</definedName>
    <definedName name="_s13">sIndikatoren!$A$149</definedName>
    <definedName name="_s14">sIndikatoren!$A$161</definedName>
    <definedName name="_s15">sIndikatoren!$A$173</definedName>
    <definedName name="_s16">sIndikatoren!$A$185</definedName>
    <definedName name="_s17">sIndikatoren!$A$197</definedName>
    <definedName name="_s18">sIndikatoren!$A$209</definedName>
    <definedName name="_s19">sIndikatoren!$A$221</definedName>
    <definedName name="_s2">sIndikatoren!$A$17</definedName>
    <definedName name="_s20">sIndikatoren!$A$233</definedName>
    <definedName name="_s21">sIndikatoren!$A$245</definedName>
    <definedName name="_s22">sIndikatoren!$A$257</definedName>
    <definedName name="_s23">sIndikatoren!$A$269</definedName>
    <definedName name="_s24">sIndikatoren!$A$281</definedName>
    <definedName name="_s25">sIndikatoren!$A$293</definedName>
    <definedName name="_s26">sIndikatoren!$A$305</definedName>
    <definedName name="_s27">sIndikatoren!$A$317</definedName>
    <definedName name="_s28">sIndikatoren!$A$329</definedName>
    <definedName name="_s29">sIndikatoren!$A$341</definedName>
    <definedName name="_s3">sIndikatoren!$A$29</definedName>
    <definedName name="_s30">sIndikatoren!$A$353</definedName>
    <definedName name="_s31">sIndikatoren!$A$365</definedName>
    <definedName name="_s32">sIndikatoren!$A$377</definedName>
    <definedName name="_s33">sIndikatoren!$A$389</definedName>
    <definedName name="_s34">sIndikatoren!$A$401</definedName>
    <definedName name="_s35">sIndikatoren!$A$413</definedName>
    <definedName name="_s36">sIndikatoren!$A$425</definedName>
    <definedName name="_s37">sIndikatoren!$A$437</definedName>
    <definedName name="_s38">sIndikatoren!$A$449</definedName>
    <definedName name="_s39">sIndikatoren!$A$461</definedName>
    <definedName name="_s4">sIndikatoren!$A$41</definedName>
    <definedName name="_s40">sIndikatoren!$A$473</definedName>
    <definedName name="_s5">sIndikatoren!$A$53</definedName>
    <definedName name="_s6">sIndikatoren!$A$65</definedName>
    <definedName name="_s7">sIndikatoren!$A$77</definedName>
    <definedName name="_s8">sIndikatoren!$A$89</definedName>
    <definedName name="_s9">sIndikatoren!$A$101</definedName>
    <definedName name="Bars" localSheetId="6">OFFSET(Fehler!$C$29,0,0,COUNT(Fehler!$F:$F))</definedName>
    <definedName name="Bars" localSheetId="5">OFFSET(Reklamationen!$C$29,0,0,COUNT(Reklamationen!$F:$F))</definedName>
    <definedName name="Bars">OFFSET(Pareto!$F$7,0,0,COUNT(Pareto!$F:$F))</definedName>
    <definedName name="Datum" localSheetId="38">'[1] '!$Z$4</definedName>
    <definedName name="Datum">' '!$Z$4</definedName>
    <definedName name="_xlnm.Print_Area" localSheetId="33">'2BP'!$B$1:$H$13</definedName>
    <definedName name="_xlnm.Print_Area" localSheetId="34">'2BSC'!$B$1:$H$13</definedName>
    <definedName name="_xlnm.Print_Area" localSheetId="31">'2Cockpit'!$B$1:$H$13</definedName>
    <definedName name="_xlnm.Print_Area" localSheetId="35">'2Projektmgmt'!$B$1:$H$13</definedName>
    <definedName name="_xlnm.Print_Area" localSheetId="32">'2Strategie'!$B$1:$H$13</definedName>
    <definedName name="_xlnm.Print_Area" localSheetId="4">Benchmark!$B$1:$I$35</definedName>
    <definedName name="_xlnm.Print_Area" localSheetId="15">Canvas!$B$1:$H$52</definedName>
    <definedName name="_xlnm.Print_Area" localSheetId="17">Chances!$B$1:$U$117</definedName>
    <definedName name="_xlnm.Print_Area" localSheetId="21">Cockpit!$B$1:$N$87</definedName>
    <definedName name="_xlnm.Print_Area" localSheetId="10">Consumer_Trend!$B$1:$E$40</definedName>
    <definedName name="_xlnm.Print_Area" localSheetId="7">Eisenhower!$B$1:$H$51</definedName>
    <definedName name="_xlnm.Print_Area" localSheetId="6">Fehler!$B$1:$I$55</definedName>
    <definedName name="_xlnm.Print_Area" localSheetId="24">Fishbone!$A$1:$AB$23</definedName>
    <definedName name="_xlnm.Print_Area" localSheetId="16">Forces!$B$1:$U$98</definedName>
    <definedName name="_xlnm.Print_Area" localSheetId="11">Fuehrung!$A$1:$L$39</definedName>
    <definedName name="_xlnm.Print_Area" localSheetId="22">Kernkompetenzen!$B$1:$H$53</definedName>
    <definedName name="_xlnm.Print_Area" localSheetId="29">Kommunikation!$B$1:$I$90</definedName>
    <definedName name="_xlnm.Print_Area" localSheetId="25">KostenNutzen!$B$1:$G$65</definedName>
    <definedName name="_xlnm.Print_Area" localSheetId="27">KPI!$B$1:$K$37</definedName>
    <definedName name="_xlnm.Print_Area" localSheetId="23">Leadership!$B$1:$O$8</definedName>
    <definedName name="_xlnm.Print_Area" localSheetId="19">Massnahmen!$B$1:$W$87</definedName>
    <definedName name="_xlnm.Print_Area" localSheetId="26">MatrixIdee!$B$1:$P$26</definedName>
    <definedName name="_xlnm.Print_Area" localSheetId="36">oIndikatoren!$C$1:$F$964</definedName>
    <definedName name="_xlnm.Print_Area" localSheetId="28">Pareto!$A$1:$N$30</definedName>
    <definedName name="_xlnm.Print_Area" localSheetId="20">Personal!$A$1:$J$51</definedName>
    <definedName name="_xlnm.Print_Area" localSheetId="18">Prozesse!$B$1:$G$56</definedName>
    <definedName name="_xlnm.Print_Area" localSheetId="5">Reklamationen!$B$1:$I$56</definedName>
    <definedName name="_xlnm.Print_Area" localSheetId="3">Risikomgmt!$A$1:$I$55</definedName>
    <definedName name="_xlnm.Print_Area" localSheetId="37">sIndikatoren!$C$1:$F$484</definedName>
    <definedName name="_xlnm.Print_Area" localSheetId="12">Stakeholder!$B$1:$I$49</definedName>
    <definedName name="_xlnm.Print_Area" localSheetId="13">Struktur!$B$1:$G$55</definedName>
    <definedName name="_xlnm.Print_Area" localSheetId="8">'Swot-Analyse'!$B$1:$H$43</definedName>
    <definedName name="_xlnm.Print_Area" localSheetId="14">Systeme!$B$1:$G$55</definedName>
    <definedName name="_xlnm.Print_Area" localSheetId="9">Trends!$B$1:$H$97</definedName>
    <definedName name="_xlnm.Print_Titles" localSheetId="33">'2BP'!$1:$1</definedName>
    <definedName name="_xlnm.Print_Titles" localSheetId="34">'2BSC'!$1:$1</definedName>
    <definedName name="_xlnm.Print_Titles" localSheetId="31">'2Cockpit'!$1:$1</definedName>
    <definedName name="_xlnm.Print_Titles" localSheetId="35">'2Projektmgmt'!$1:$1</definedName>
    <definedName name="_xlnm.Print_Titles" localSheetId="32">'2Strategie'!$1:$1</definedName>
    <definedName name="_xlnm.Print_Titles" localSheetId="15">Canvas!$1:$1</definedName>
    <definedName name="_xlnm.Print_Titles" localSheetId="17">Chances!$1:$9</definedName>
    <definedName name="_xlnm.Print_Titles" localSheetId="21">Cockpit!$5:$6</definedName>
    <definedName name="_xlnm.Print_Titles" localSheetId="10">Consumer_Trend!$1:$1</definedName>
    <definedName name="_xlnm.Print_Titles" localSheetId="7">Eisenhower!$1:$1</definedName>
    <definedName name="_xlnm.Print_Titles" localSheetId="16">Forces!$1:$9</definedName>
    <definedName name="_xlnm.Print_Titles" localSheetId="22">Kernkompetenzen!$1:$1</definedName>
    <definedName name="_xlnm.Print_Titles" localSheetId="29">Kommunikation!$4:$5</definedName>
    <definedName name="_xlnm.Print_Titles" localSheetId="27">KPI!$3:$4</definedName>
    <definedName name="_xlnm.Print_Titles" localSheetId="23">Leadership!$B:$B,Leadership!$2:$2</definedName>
    <definedName name="_xlnm.Print_Titles" localSheetId="19">Massnahmen!$5:$6</definedName>
    <definedName name="_xlnm.Print_Titles" localSheetId="20">Personal!$1:$1</definedName>
    <definedName name="durchAlterDerMA" localSheetId="37">sIndikatoren!$D$5</definedName>
    <definedName name="graph_2_stakeholder">Stakeholder!$A$76</definedName>
    <definedName name="graph_chances" localSheetId="17">Chances!$A$116</definedName>
    <definedName name="graph_forces">Forces!$A$96</definedName>
    <definedName name="Graph_Kompetenzen">Kernkompetenzen!$A$52</definedName>
    <definedName name="Graph_Kunden">KostenNutzen!$A$64</definedName>
    <definedName name="graph_pestel">Trends!$A$124</definedName>
    <definedName name="Graph_Risk">Risikomgmt!$A$56</definedName>
    <definedName name="graph_stakeholder" localSheetId="7">Eisenhower!$A$50</definedName>
    <definedName name="graph_stakeholder" localSheetId="20">Personal!$A$50</definedName>
    <definedName name="graph_stakeholder">Stakeholder!$A$50</definedName>
    <definedName name="paretoXaxis" localSheetId="6">OFFSET(Fehler!$B$29,0,0,COUNT(Fehler!$F:$F))</definedName>
    <definedName name="paretoXaxis" localSheetId="5">OFFSET(Reklamationen!$B$29,0,0,COUNT(Reklamationen!$F:$F))</definedName>
    <definedName name="paretoXaxis">OFFSET(Pareto!$E$7,0,0,COUNT(Pareto!$F:$F))</definedName>
    <definedName name="Percentage" localSheetId="6">OFFSET(Fehler!$E$29,0,0,COUNT(Fehler!$F:$F))</definedName>
    <definedName name="Percentage" localSheetId="5">OFFSET(Reklamationen!$E$29,0,0,COUNT(Reklamationen!$F:$F))</definedName>
    <definedName name="Percentage">OFFSET(Pareto!$H$7,0,0,COUNT(Pareto!$F:$F))</definedName>
    <definedName name="rechts_massnahmen" localSheetId="21">Cockpit!$N$2</definedName>
    <definedName name="Sprachen">' '!$C$3:$G$3</definedName>
    <definedName name="Strategie_1" localSheetId="21">Cockpit!$C$7</definedName>
    <definedName name="Strategie_1">Massnahmen!$C$7</definedName>
    <definedName name="Strategie_10" localSheetId="21">Cockpit!$C$79</definedName>
    <definedName name="Strategie_10">Massnahmen!$C$79</definedName>
    <definedName name="Strategie_2" localSheetId="21">Cockpit!$C$15</definedName>
    <definedName name="Strategie_2">Massnahmen!$C$15</definedName>
    <definedName name="Strategie_3" localSheetId="21">Cockpit!$C$23</definedName>
    <definedName name="Strategie_3">Massnahmen!$C$23</definedName>
    <definedName name="Strategie_4" localSheetId="21">Cockpit!$C$31</definedName>
    <definedName name="Strategie_4">Massnahmen!$C$31</definedName>
    <definedName name="Strategie_5" localSheetId="21">Cockpit!$C$39</definedName>
    <definedName name="Strategie_5">Massnahmen!$C$39</definedName>
    <definedName name="Strategie_6" localSheetId="21">Cockpit!$C$47</definedName>
    <definedName name="Strategie_6">Massnahmen!$C$47</definedName>
    <definedName name="Strategie_7" localSheetId="21">Cockpit!$C$55</definedName>
    <definedName name="Strategie_7">Massnahmen!$C$55</definedName>
    <definedName name="Strategie_8" localSheetId="21">Cockpit!$C$63</definedName>
    <definedName name="Strategie_8">Massnahmen!$C$63</definedName>
    <definedName name="Strategie_9" localSheetId="21">Cockpit!$C$71</definedName>
    <definedName name="Strategie_9">Massnahmen!$C$71</definedName>
    <definedName name="top">Trends!$A$2</definedName>
    <definedName name="top_chances" localSheetId="17">Chances!$A$8</definedName>
    <definedName name="top_forces">Forces!$A$8</definedName>
    <definedName name="top_kennzahlen" localSheetId="33">'2BP'!$A$2</definedName>
    <definedName name="top_kennzahlen" localSheetId="34">'2BSC'!$A$2</definedName>
    <definedName name="top_kennzahlen" localSheetId="31">'2Cockpit'!$A$2</definedName>
    <definedName name="top_kennzahlen" localSheetId="35">'2Projektmgmt'!$A$2</definedName>
    <definedName name="top_kennzahlen" localSheetId="32">'2Strategie'!$A$2</definedName>
    <definedName name="top_kunden" localSheetId="12">KostenNutzen!$C$5</definedName>
    <definedName name="top_massnahmen" localSheetId="21">Cockpit!$A$2</definedName>
    <definedName name="top_massnahmen">Massnahmen!$A$2</definedName>
    <definedName name="top_Porter" localSheetId="29">Kommunikation!$A$2</definedName>
    <definedName name="top_swot">'Swot-Analyse'!$A$2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5" i="2" l="1"/>
  <c r="A23" i="2" s="1"/>
  <c r="D4" i="90" s="1"/>
  <c r="J6" i="80"/>
  <c r="J7" i="80"/>
  <c r="J8" i="80"/>
  <c r="J9" i="80"/>
  <c r="J10" i="80"/>
  <c r="J11" i="80"/>
  <c r="J12" i="80"/>
  <c r="J13" i="80"/>
  <c r="J14" i="80"/>
  <c r="J15" i="80"/>
  <c r="J16" i="80"/>
  <c r="J17" i="80"/>
  <c r="J18" i="80"/>
  <c r="J19" i="80"/>
  <c r="J20" i="80"/>
  <c r="J21" i="80"/>
  <c r="J22" i="80"/>
  <c r="J23" i="80"/>
  <c r="J24" i="80"/>
  <c r="J5" i="80"/>
  <c r="J6" i="71"/>
  <c r="J7" i="71"/>
  <c r="J8" i="71"/>
  <c r="J9" i="71"/>
  <c r="J10" i="71"/>
  <c r="J11" i="71"/>
  <c r="J12" i="71"/>
  <c r="J13" i="71"/>
  <c r="J14" i="71"/>
  <c r="J15" i="71"/>
  <c r="J16" i="71"/>
  <c r="J17" i="71"/>
  <c r="J18" i="71"/>
  <c r="J19" i="71"/>
  <c r="J20" i="71"/>
  <c r="J21" i="71"/>
  <c r="J22" i="71"/>
  <c r="J23" i="71"/>
  <c r="J24" i="71"/>
  <c r="J5" i="71"/>
  <c r="I6" i="87"/>
  <c r="I7" i="87"/>
  <c r="I8" i="87"/>
  <c r="I9" i="87"/>
  <c r="I10" i="87"/>
  <c r="I11" i="87"/>
  <c r="I12" i="87"/>
  <c r="I13" i="87"/>
  <c r="I14" i="87"/>
  <c r="I15" i="87"/>
  <c r="I16" i="87"/>
  <c r="I17" i="87"/>
  <c r="I18" i="87"/>
  <c r="I19" i="87"/>
  <c r="I20" i="87"/>
  <c r="I21" i="87"/>
  <c r="I22" i="87"/>
  <c r="I23" i="87"/>
  <c r="I24" i="87"/>
  <c r="I5" i="87"/>
  <c r="J29" i="70"/>
  <c r="A34" i="37"/>
  <c r="B34" i="37"/>
  <c r="A33" i="37"/>
  <c r="B33" i="37" s="1"/>
  <c r="A32" i="37"/>
  <c r="B32" i="37"/>
  <c r="A31" i="37"/>
  <c r="B31" i="37"/>
  <c r="A30" i="37"/>
  <c r="B30" i="37" s="1"/>
  <c r="A29" i="37"/>
  <c r="B29" i="37" s="1"/>
  <c r="A28" i="37"/>
  <c r="B28" i="37"/>
  <c r="A27" i="37"/>
  <c r="B27" i="37" s="1"/>
  <c r="A26" i="37"/>
  <c r="B26" i="37" s="1"/>
  <c r="A25" i="37"/>
  <c r="B25" i="37"/>
  <c r="A24" i="37"/>
  <c r="B24" i="37"/>
  <c r="A23" i="37"/>
  <c r="B23" i="37"/>
  <c r="A22" i="37"/>
  <c r="B22" i="37"/>
  <c r="A21" i="37"/>
  <c r="B21" i="37" s="1"/>
  <c r="A20" i="37"/>
  <c r="B20" i="37"/>
  <c r="A19" i="37"/>
  <c r="B19" i="37"/>
  <c r="A18" i="37"/>
  <c r="B18" i="37" s="1"/>
  <c r="A17" i="37"/>
  <c r="B17" i="37" s="1"/>
  <c r="A16" i="37"/>
  <c r="B16" i="37"/>
  <c r="A15" i="37"/>
  <c r="B15" i="37" s="1"/>
  <c r="A14" i="37"/>
  <c r="B14" i="37" s="1"/>
  <c r="A13" i="37"/>
  <c r="B13" i="37"/>
  <c r="A12" i="37"/>
  <c r="B12" i="37"/>
  <c r="A11" i="37"/>
  <c r="B11" i="37"/>
  <c r="A10" i="37"/>
  <c r="B10" i="37"/>
  <c r="A9" i="37"/>
  <c r="B9" i="37" s="1"/>
  <c r="A8" i="37"/>
  <c r="B8" i="37"/>
  <c r="A7" i="37"/>
  <c r="B7" i="37"/>
  <c r="A6" i="37"/>
  <c r="B6" i="37" s="1"/>
  <c r="A5" i="37"/>
  <c r="B5" i="37" s="1"/>
  <c r="G47" i="87"/>
  <c r="G46" i="87"/>
  <c r="G45" i="87"/>
  <c r="G44" i="87"/>
  <c r="G43" i="87"/>
  <c r="G42" i="87"/>
  <c r="G41" i="87"/>
  <c r="G40" i="87"/>
  <c r="G39" i="87"/>
  <c r="G38" i="87"/>
  <c r="G37" i="87"/>
  <c r="G36" i="87"/>
  <c r="G35" i="87"/>
  <c r="G34" i="87"/>
  <c r="G33" i="87"/>
  <c r="G32" i="87"/>
  <c r="G31" i="87"/>
  <c r="G30" i="87"/>
  <c r="G29" i="87"/>
  <c r="G28" i="87"/>
  <c r="F1" i="86"/>
  <c r="G44" i="84"/>
  <c r="G43" i="84"/>
  <c r="G42" i="84"/>
  <c r="G41" i="84"/>
  <c r="G40" i="84"/>
  <c r="G39" i="84"/>
  <c r="G38" i="84"/>
  <c r="G37" i="84"/>
  <c r="G36" i="84"/>
  <c r="G35" i="84"/>
  <c r="G34" i="84"/>
  <c r="G33" i="84"/>
  <c r="C48" i="83"/>
  <c r="E48" i="83"/>
  <c r="B48" i="83"/>
  <c r="C47" i="83"/>
  <c r="E47" i="83"/>
  <c r="B47" i="83"/>
  <c r="C46" i="83"/>
  <c r="E46" i="83"/>
  <c r="B46" i="83"/>
  <c r="C45" i="83"/>
  <c r="E45" i="83"/>
  <c r="B45" i="83"/>
  <c r="C44" i="83"/>
  <c r="E44" i="83"/>
  <c r="B44" i="83"/>
  <c r="C43" i="83"/>
  <c r="E43" i="83"/>
  <c r="B43" i="83"/>
  <c r="C42" i="83"/>
  <c r="E42" i="83"/>
  <c r="B42" i="83"/>
  <c r="C41" i="83"/>
  <c r="E41" i="83"/>
  <c r="B41" i="83"/>
  <c r="C40" i="83"/>
  <c r="E40" i="83"/>
  <c r="B40" i="83"/>
  <c r="C39" i="83"/>
  <c r="E39" i="83"/>
  <c r="B39" i="83"/>
  <c r="C38" i="83"/>
  <c r="E38" i="83"/>
  <c r="B38" i="83"/>
  <c r="C37" i="83"/>
  <c r="E37" i="83"/>
  <c r="B37" i="83"/>
  <c r="C36" i="83"/>
  <c r="E36" i="83"/>
  <c r="B36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  <c r="B8" i="83"/>
  <c r="B7" i="83"/>
  <c r="B6" i="83"/>
  <c r="B5" i="83"/>
  <c r="C32" i="83" s="1"/>
  <c r="B33" i="83"/>
  <c r="B30" i="83"/>
  <c r="B34" i="83"/>
  <c r="C34" i="83"/>
  <c r="B35" i="83"/>
  <c r="C35" i="83"/>
  <c r="E35" i="83" s="1"/>
  <c r="C48" i="81"/>
  <c r="E48" i="81"/>
  <c r="B48" i="81"/>
  <c r="C47" i="81"/>
  <c r="E47" i="81" s="1"/>
  <c r="B47" i="81"/>
  <c r="C46" i="81"/>
  <c r="E46" i="81"/>
  <c r="B46" i="81"/>
  <c r="C45" i="81"/>
  <c r="E45" i="81" s="1"/>
  <c r="B45" i="81"/>
  <c r="C44" i="81"/>
  <c r="E44" i="81" s="1"/>
  <c r="B44" i="81"/>
  <c r="C43" i="81"/>
  <c r="E43" i="81" s="1"/>
  <c r="B43" i="81"/>
  <c r="C42" i="81"/>
  <c r="E42" i="81" s="1"/>
  <c r="B42" i="81"/>
  <c r="C41" i="81"/>
  <c r="E41" i="81" s="1"/>
  <c r="B41" i="81"/>
  <c r="C40" i="81"/>
  <c r="E40" i="81"/>
  <c r="B40" i="81"/>
  <c r="C39" i="81"/>
  <c r="E39" i="81" s="1"/>
  <c r="B39" i="81"/>
  <c r="C38" i="81"/>
  <c r="E38" i="81"/>
  <c r="B38" i="81"/>
  <c r="C37" i="81"/>
  <c r="E37" i="81" s="1"/>
  <c r="B37" i="81"/>
  <c r="C36" i="81"/>
  <c r="E36" i="81" s="1"/>
  <c r="B36" i="81"/>
  <c r="B24" i="81"/>
  <c r="B23" i="81"/>
  <c r="B22" i="81"/>
  <c r="B21" i="81"/>
  <c r="B20" i="81"/>
  <c r="B19" i="81"/>
  <c r="B18" i="81"/>
  <c r="B17" i="81"/>
  <c r="B16" i="81"/>
  <c r="B15" i="81"/>
  <c r="B14" i="81"/>
  <c r="B13" i="81"/>
  <c r="B12" i="81"/>
  <c r="B11" i="81"/>
  <c r="B10" i="81"/>
  <c r="B9" i="81"/>
  <c r="B8" i="81"/>
  <c r="B7" i="81"/>
  <c r="B6" i="81"/>
  <c r="C32" i="81" s="1"/>
  <c r="B5" i="81"/>
  <c r="E34" i="83"/>
  <c r="B33" i="81"/>
  <c r="C29" i="81"/>
  <c r="B30" i="81"/>
  <c r="C30" i="81"/>
  <c r="B35" i="81"/>
  <c r="B34" i="81"/>
  <c r="C31" i="81"/>
  <c r="C35" i="81"/>
  <c r="D25" i="80"/>
  <c r="E35" i="81"/>
  <c r="H47" i="80"/>
  <c r="H46" i="80"/>
  <c r="H45" i="80"/>
  <c r="H44" i="80"/>
  <c r="H43" i="80"/>
  <c r="H42" i="80"/>
  <c r="H41" i="80"/>
  <c r="H40" i="80"/>
  <c r="H39" i="80"/>
  <c r="H38" i="80"/>
  <c r="H37" i="80"/>
  <c r="H36" i="80"/>
  <c r="H35" i="80"/>
  <c r="H34" i="80"/>
  <c r="H33" i="80"/>
  <c r="H32" i="80"/>
  <c r="H31" i="80"/>
  <c r="H30" i="80"/>
  <c r="H29" i="80"/>
  <c r="H28" i="80"/>
  <c r="J88" i="23"/>
  <c r="J87" i="23"/>
  <c r="J86" i="23"/>
  <c r="J85" i="23"/>
  <c r="J84" i="23"/>
  <c r="J83" i="23"/>
  <c r="J82" i="23"/>
  <c r="J81" i="23"/>
  <c r="J80" i="23"/>
  <c r="J79" i="23"/>
  <c r="J74" i="23"/>
  <c r="J73" i="23"/>
  <c r="J72" i="23"/>
  <c r="J71" i="23"/>
  <c r="J70" i="23"/>
  <c r="J69" i="23"/>
  <c r="J68" i="23"/>
  <c r="J67" i="23"/>
  <c r="J66" i="23"/>
  <c r="J65" i="23"/>
  <c r="J60" i="23"/>
  <c r="J59" i="23"/>
  <c r="J58" i="23"/>
  <c r="J57" i="23"/>
  <c r="J56" i="23"/>
  <c r="J55" i="23"/>
  <c r="J54" i="23"/>
  <c r="J53" i="23"/>
  <c r="J52" i="23"/>
  <c r="J51" i="23"/>
  <c r="J46" i="23"/>
  <c r="J45" i="23"/>
  <c r="J44" i="23"/>
  <c r="J43" i="23"/>
  <c r="J42" i="23"/>
  <c r="J41" i="23"/>
  <c r="J40" i="23"/>
  <c r="J39" i="23"/>
  <c r="J38" i="23"/>
  <c r="J37" i="23"/>
  <c r="J32" i="23"/>
  <c r="J31" i="23"/>
  <c r="J30" i="23"/>
  <c r="J29" i="23"/>
  <c r="J28" i="23"/>
  <c r="J27" i="23"/>
  <c r="J26" i="23"/>
  <c r="J25" i="23"/>
  <c r="J24" i="23"/>
  <c r="J23" i="23"/>
  <c r="J18" i="23"/>
  <c r="J17" i="23"/>
  <c r="J16" i="23"/>
  <c r="J15" i="23"/>
  <c r="J14" i="23"/>
  <c r="J13" i="23"/>
  <c r="J12" i="23"/>
  <c r="J11" i="23"/>
  <c r="J10" i="23"/>
  <c r="J9" i="23"/>
  <c r="E97" i="13"/>
  <c r="E83" i="13"/>
  <c r="D9" i="13"/>
  <c r="E69" i="13"/>
  <c r="D8" i="13" s="1"/>
  <c r="E55" i="13"/>
  <c r="D7" i="13"/>
  <c r="E41" i="13"/>
  <c r="D6" i="13" s="1"/>
  <c r="E27" i="13"/>
  <c r="D5" i="13" s="1"/>
  <c r="H3" i="76"/>
  <c r="D3" i="76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D953" i="68"/>
  <c r="D941" i="68"/>
  <c r="D929" i="68"/>
  <c r="D917" i="68"/>
  <c r="D905" i="68"/>
  <c r="D893" i="68"/>
  <c r="D881" i="68"/>
  <c r="D869" i="68"/>
  <c r="D857" i="68"/>
  <c r="D845" i="68"/>
  <c r="D833" i="68"/>
  <c r="D821" i="68"/>
  <c r="D809" i="68"/>
  <c r="D797" i="68"/>
  <c r="D785" i="68"/>
  <c r="D773" i="68"/>
  <c r="D761" i="68"/>
  <c r="D749" i="68"/>
  <c r="D737" i="68"/>
  <c r="D725" i="68"/>
  <c r="D713" i="68"/>
  <c r="D701" i="68"/>
  <c r="D689" i="68"/>
  <c r="D677" i="68"/>
  <c r="D665" i="68"/>
  <c r="D653" i="68"/>
  <c r="D641" i="68"/>
  <c r="D629" i="68"/>
  <c r="D617" i="68"/>
  <c r="D605" i="68"/>
  <c r="D593" i="68"/>
  <c r="D581" i="68"/>
  <c r="D569" i="68"/>
  <c r="D557" i="68"/>
  <c r="D545" i="68"/>
  <c r="D533" i="68"/>
  <c r="D521" i="68"/>
  <c r="D509" i="68"/>
  <c r="D497" i="68"/>
  <c r="D485" i="68"/>
  <c r="D473" i="68"/>
  <c r="D461" i="68"/>
  <c r="D449" i="68"/>
  <c r="D437" i="68"/>
  <c r="D425" i="68"/>
  <c r="D413" i="68"/>
  <c r="D401" i="68"/>
  <c r="D389" i="68"/>
  <c r="D377" i="68"/>
  <c r="D365" i="68"/>
  <c r="D353" i="68"/>
  <c r="D341" i="68"/>
  <c r="D329" i="68"/>
  <c r="D317" i="68"/>
  <c r="D305" i="68"/>
  <c r="D293" i="68"/>
  <c r="D281" i="68"/>
  <c r="D269" i="68"/>
  <c r="D257" i="68"/>
  <c r="D245" i="68"/>
  <c r="D233" i="68"/>
  <c r="D221" i="68"/>
  <c r="D209" i="68"/>
  <c r="D197" i="68"/>
  <c r="D185" i="68"/>
  <c r="D173" i="68"/>
  <c r="D161" i="68"/>
  <c r="D149" i="68"/>
  <c r="D137" i="68"/>
  <c r="D125" i="68"/>
  <c r="D113" i="68"/>
  <c r="D101" i="68"/>
  <c r="D89" i="68"/>
  <c r="D77" i="68"/>
  <c r="D65" i="68"/>
  <c r="D53" i="68"/>
  <c r="D41" i="68"/>
  <c r="D29" i="68"/>
  <c r="D17" i="68"/>
  <c r="D5" i="68"/>
  <c r="D473" i="67"/>
  <c r="D461" i="67"/>
  <c r="D449" i="67"/>
  <c r="D437" i="67"/>
  <c r="D425" i="67"/>
  <c r="D413" i="67"/>
  <c r="D401" i="67"/>
  <c r="D389" i="67"/>
  <c r="D377" i="67"/>
  <c r="D365" i="67"/>
  <c r="D353" i="67"/>
  <c r="D341" i="67"/>
  <c r="D329" i="67"/>
  <c r="D317" i="67"/>
  <c r="D305" i="67"/>
  <c r="D293" i="67"/>
  <c r="D281" i="67"/>
  <c r="D269" i="67"/>
  <c r="D257" i="67"/>
  <c r="D245" i="67"/>
  <c r="D233" i="67"/>
  <c r="D221" i="67"/>
  <c r="D209" i="67"/>
  <c r="D197" i="67"/>
  <c r="D185" i="67"/>
  <c r="D173" i="67"/>
  <c r="D161" i="67"/>
  <c r="D149" i="67"/>
  <c r="D137" i="67"/>
  <c r="D125" i="67"/>
  <c r="D113" i="67"/>
  <c r="D101" i="67"/>
  <c r="D89" i="67"/>
  <c r="D77" i="67"/>
  <c r="D65" i="67"/>
  <c r="D53" i="67"/>
  <c r="D41" i="67"/>
  <c r="D29" i="67"/>
  <c r="D17" i="67"/>
  <c r="D5" i="67"/>
  <c r="A87" i="66"/>
  <c r="E85" i="66"/>
  <c r="E83" i="66"/>
  <c r="E81" i="66"/>
  <c r="E79" i="66"/>
  <c r="C79" i="66"/>
  <c r="E77" i="66"/>
  <c r="E75" i="66"/>
  <c r="E73" i="66"/>
  <c r="E71" i="66"/>
  <c r="C71" i="66"/>
  <c r="E69" i="66"/>
  <c r="E67" i="66"/>
  <c r="E65" i="66"/>
  <c r="E63" i="66"/>
  <c r="C63" i="66"/>
  <c r="E61" i="66"/>
  <c r="E59" i="66"/>
  <c r="E57" i="66"/>
  <c r="E55" i="66"/>
  <c r="C55" i="66"/>
  <c r="E53" i="66"/>
  <c r="E51" i="66"/>
  <c r="E49" i="66"/>
  <c r="E47" i="66"/>
  <c r="C47" i="66"/>
  <c r="E45" i="66"/>
  <c r="E43" i="66"/>
  <c r="E41" i="66"/>
  <c r="E39" i="66"/>
  <c r="C39" i="66"/>
  <c r="E37" i="66"/>
  <c r="E35" i="66"/>
  <c r="E33" i="66"/>
  <c r="E31" i="66"/>
  <c r="C31" i="66"/>
  <c r="E29" i="66"/>
  <c r="E27" i="66"/>
  <c r="E25" i="66"/>
  <c r="E23" i="66"/>
  <c r="C23" i="66"/>
  <c r="E21" i="66"/>
  <c r="E19" i="66"/>
  <c r="E17" i="66"/>
  <c r="E15" i="66"/>
  <c r="C15" i="66"/>
  <c r="E13" i="66"/>
  <c r="E11" i="66"/>
  <c r="E9" i="66"/>
  <c r="E7" i="66"/>
  <c r="C7" i="66"/>
  <c r="A87" i="65"/>
  <c r="W86" i="65"/>
  <c r="T86" i="65"/>
  <c r="Q86" i="65"/>
  <c r="W85" i="65"/>
  <c r="T85" i="65"/>
  <c r="Q85" i="65"/>
  <c r="L85" i="65"/>
  <c r="G85" i="66"/>
  <c r="I85" i="65"/>
  <c r="F85" i="66" s="1"/>
  <c r="F85" i="65"/>
  <c r="W84" i="65"/>
  <c r="T84" i="65"/>
  <c r="Q84" i="65"/>
  <c r="W83" i="65"/>
  <c r="T83" i="65"/>
  <c r="Q83" i="65"/>
  <c r="L83" i="65"/>
  <c r="G83" i="66"/>
  <c r="I83" i="65"/>
  <c r="F83" i="66"/>
  <c r="F83" i="65"/>
  <c r="W82" i="65"/>
  <c r="T82" i="65"/>
  <c r="Q82" i="65"/>
  <c r="W81" i="65"/>
  <c r="T81" i="65"/>
  <c r="Q81" i="65"/>
  <c r="L81" i="65"/>
  <c r="G81" i="66"/>
  <c r="I81" i="65"/>
  <c r="F81" i="66"/>
  <c r="F81" i="65"/>
  <c r="W80" i="65"/>
  <c r="T80" i="65"/>
  <c r="Q80" i="65"/>
  <c r="W79" i="65"/>
  <c r="T79" i="65"/>
  <c r="Q79" i="65"/>
  <c r="L79" i="65"/>
  <c r="G79" i="66" s="1"/>
  <c r="I79" i="65"/>
  <c r="F79" i="66"/>
  <c r="F79" i="65"/>
  <c r="W78" i="65"/>
  <c r="T78" i="65"/>
  <c r="Q78" i="65"/>
  <c r="W77" i="65"/>
  <c r="T77" i="65"/>
  <c r="Q77" i="65"/>
  <c r="L77" i="65"/>
  <c r="G77" i="66" s="1"/>
  <c r="I77" i="65"/>
  <c r="F77" i="66"/>
  <c r="F77" i="65"/>
  <c r="W76" i="65"/>
  <c r="T76" i="65"/>
  <c r="Q76" i="65"/>
  <c r="W75" i="65"/>
  <c r="T75" i="65"/>
  <c r="Q75" i="65"/>
  <c r="L75" i="65"/>
  <c r="G75" i="66"/>
  <c r="I75" i="65"/>
  <c r="F75" i="66" s="1"/>
  <c r="F75" i="65"/>
  <c r="W74" i="65"/>
  <c r="T74" i="65"/>
  <c r="Q74" i="65"/>
  <c r="W73" i="65"/>
  <c r="T73" i="65"/>
  <c r="Q73" i="65"/>
  <c r="L73" i="65"/>
  <c r="G73" i="66"/>
  <c r="I73" i="65"/>
  <c r="F73" i="66" s="1"/>
  <c r="F73" i="65"/>
  <c r="W72" i="65"/>
  <c r="T72" i="65"/>
  <c r="Q72" i="65"/>
  <c r="W71" i="65"/>
  <c r="T71" i="65"/>
  <c r="Q71" i="65"/>
  <c r="L71" i="65"/>
  <c r="G71" i="66"/>
  <c r="I71" i="65"/>
  <c r="F71" i="66"/>
  <c r="F71" i="65"/>
  <c r="W70" i="65"/>
  <c r="T70" i="65"/>
  <c r="Q70" i="65"/>
  <c r="W69" i="65"/>
  <c r="T69" i="65"/>
  <c r="Q69" i="65"/>
  <c r="L69" i="65"/>
  <c r="G69" i="66"/>
  <c r="I69" i="65"/>
  <c r="F69" i="66"/>
  <c r="F69" i="65"/>
  <c r="W68" i="65"/>
  <c r="T68" i="65"/>
  <c r="Q68" i="65"/>
  <c r="W67" i="65"/>
  <c r="T67" i="65"/>
  <c r="Q67" i="65"/>
  <c r="L67" i="65"/>
  <c r="G67" i="66"/>
  <c r="I67" i="65"/>
  <c r="F67" i="66"/>
  <c r="F67" i="65"/>
  <c r="W66" i="65"/>
  <c r="T66" i="65"/>
  <c r="Q66" i="65"/>
  <c r="W65" i="65"/>
  <c r="T65" i="65"/>
  <c r="Q65" i="65"/>
  <c r="L65" i="65"/>
  <c r="G65" i="66" s="1"/>
  <c r="I65" i="65"/>
  <c r="F65" i="66"/>
  <c r="F65" i="65"/>
  <c r="W64" i="65"/>
  <c r="T64" i="65"/>
  <c r="Q64" i="65"/>
  <c r="W63" i="65"/>
  <c r="T63" i="65"/>
  <c r="Q63" i="65"/>
  <c r="L63" i="65"/>
  <c r="G63" i="66"/>
  <c r="I63" i="65"/>
  <c r="F63" i="66"/>
  <c r="F63" i="65"/>
  <c r="W62" i="65"/>
  <c r="T62" i="65"/>
  <c r="Q62" i="65"/>
  <c r="W61" i="65"/>
  <c r="T61" i="65"/>
  <c r="Q61" i="65"/>
  <c r="L61" i="65"/>
  <c r="G61" i="66" s="1"/>
  <c r="I61" i="65"/>
  <c r="F61" i="66" s="1"/>
  <c r="F61" i="65"/>
  <c r="W60" i="65"/>
  <c r="T60" i="65"/>
  <c r="Q60" i="65"/>
  <c r="W59" i="65"/>
  <c r="T59" i="65"/>
  <c r="Q59" i="65"/>
  <c r="L59" i="65"/>
  <c r="G59" i="66" s="1"/>
  <c r="I59" i="65"/>
  <c r="F59" i="66"/>
  <c r="F59" i="65"/>
  <c r="W58" i="65"/>
  <c r="T58" i="65"/>
  <c r="Q58" i="65"/>
  <c r="W57" i="65"/>
  <c r="T57" i="65"/>
  <c r="Q57" i="65"/>
  <c r="L57" i="65"/>
  <c r="G57" i="66" s="1"/>
  <c r="I57" i="65"/>
  <c r="F57" i="66" s="1"/>
  <c r="F57" i="65"/>
  <c r="W56" i="65"/>
  <c r="T56" i="65"/>
  <c r="Q56" i="65"/>
  <c r="W55" i="65"/>
  <c r="T55" i="65"/>
  <c r="Q55" i="65"/>
  <c r="L55" i="65"/>
  <c r="G55" i="66" s="1"/>
  <c r="I55" i="65"/>
  <c r="F55" i="66" s="1"/>
  <c r="F55" i="65"/>
  <c r="W54" i="65"/>
  <c r="T54" i="65"/>
  <c r="Q54" i="65"/>
  <c r="W53" i="65"/>
  <c r="T53" i="65"/>
  <c r="Q53" i="65"/>
  <c r="L53" i="65"/>
  <c r="G53" i="66" s="1"/>
  <c r="I53" i="65"/>
  <c r="F53" i="66" s="1"/>
  <c r="F53" i="65"/>
  <c r="W52" i="65"/>
  <c r="T52" i="65"/>
  <c r="Q52" i="65"/>
  <c r="W51" i="65"/>
  <c r="T51" i="65"/>
  <c r="Q51" i="65"/>
  <c r="L51" i="65"/>
  <c r="G51" i="66"/>
  <c r="I51" i="65"/>
  <c r="F51" i="66" s="1"/>
  <c r="F51" i="65"/>
  <c r="W50" i="65"/>
  <c r="T50" i="65"/>
  <c r="Q50" i="65"/>
  <c r="W49" i="65"/>
  <c r="T49" i="65"/>
  <c r="Q49" i="65"/>
  <c r="L49" i="65"/>
  <c r="G49" i="66"/>
  <c r="I49" i="65"/>
  <c r="F49" i="66" s="1"/>
  <c r="F49" i="65"/>
  <c r="W48" i="65"/>
  <c r="T48" i="65"/>
  <c r="Q48" i="65"/>
  <c r="W47" i="65"/>
  <c r="T47" i="65"/>
  <c r="Q47" i="65"/>
  <c r="L47" i="65"/>
  <c r="G47" i="66" s="1"/>
  <c r="I47" i="65"/>
  <c r="F47" i="66"/>
  <c r="F47" i="65"/>
  <c r="W46" i="65"/>
  <c r="T46" i="65"/>
  <c r="Q46" i="65"/>
  <c r="W45" i="65"/>
  <c r="T45" i="65"/>
  <c r="Q45" i="65"/>
  <c r="L45" i="65"/>
  <c r="G45" i="66" s="1"/>
  <c r="I45" i="65"/>
  <c r="F45" i="66"/>
  <c r="F45" i="65"/>
  <c r="W44" i="65"/>
  <c r="T44" i="65"/>
  <c r="Q44" i="65"/>
  <c r="W43" i="65"/>
  <c r="T43" i="65"/>
  <c r="Q43" i="65"/>
  <c r="L43" i="65"/>
  <c r="G43" i="66" s="1"/>
  <c r="I43" i="65"/>
  <c r="F43" i="66" s="1"/>
  <c r="F43" i="65"/>
  <c r="W42" i="65"/>
  <c r="T42" i="65"/>
  <c r="Q42" i="65"/>
  <c r="W41" i="65"/>
  <c r="T41" i="65"/>
  <c r="Q41" i="65"/>
  <c r="L41" i="65"/>
  <c r="G41" i="66" s="1"/>
  <c r="I41" i="65"/>
  <c r="F41" i="66" s="1"/>
  <c r="F41" i="65"/>
  <c r="W40" i="65"/>
  <c r="T40" i="65"/>
  <c r="Q40" i="65"/>
  <c r="W39" i="65"/>
  <c r="T39" i="65"/>
  <c r="Q39" i="65"/>
  <c r="L39" i="65"/>
  <c r="G39" i="66"/>
  <c r="I39" i="65"/>
  <c r="F39" i="66" s="1"/>
  <c r="F39" i="65"/>
  <c r="W38" i="65"/>
  <c r="T38" i="65"/>
  <c r="Q38" i="65"/>
  <c r="W37" i="65"/>
  <c r="T37" i="65"/>
  <c r="Q37" i="65"/>
  <c r="L37" i="65"/>
  <c r="G37" i="66" s="1"/>
  <c r="I37" i="65"/>
  <c r="F37" i="66" s="1"/>
  <c r="F37" i="65"/>
  <c r="W36" i="65"/>
  <c r="T36" i="65"/>
  <c r="Q36" i="65"/>
  <c r="W35" i="65"/>
  <c r="T35" i="65"/>
  <c r="Q35" i="65"/>
  <c r="L35" i="65"/>
  <c r="G35" i="66"/>
  <c r="I35" i="65"/>
  <c r="F35" i="66"/>
  <c r="F35" i="65"/>
  <c r="W34" i="65"/>
  <c r="T34" i="65"/>
  <c r="Q34" i="65"/>
  <c r="W33" i="65"/>
  <c r="T33" i="65"/>
  <c r="Q33" i="65"/>
  <c r="L33" i="65"/>
  <c r="G33" i="66"/>
  <c r="I33" i="65"/>
  <c r="F33" i="66" s="1"/>
  <c r="F33" i="65"/>
  <c r="W32" i="65"/>
  <c r="T32" i="65"/>
  <c r="Q32" i="65"/>
  <c r="W31" i="65"/>
  <c r="T31" i="65"/>
  <c r="Q31" i="65"/>
  <c r="L31" i="65"/>
  <c r="G31" i="66" s="1"/>
  <c r="I31" i="65"/>
  <c r="F31" i="66"/>
  <c r="F31" i="65"/>
  <c r="W30" i="65"/>
  <c r="T30" i="65"/>
  <c r="Q30" i="65"/>
  <c r="W29" i="65"/>
  <c r="T29" i="65"/>
  <c r="Q29" i="65"/>
  <c r="L29" i="65"/>
  <c r="G29" i="66" s="1"/>
  <c r="I29" i="65"/>
  <c r="F29" i="66"/>
  <c r="F29" i="65"/>
  <c r="W28" i="65"/>
  <c r="T28" i="65"/>
  <c r="Q28" i="65"/>
  <c r="W27" i="65"/>
  <c r="T27" i="65"/>
  <c r="Q27" i="65"/>
  <c r="L27" i="65"/>
  <c r="G27" i="66"/>
  <c r="I27" i="65"/>
  <c r="F27" i="66" s="1"/>
  <c r="F27" i="65"/>
  <c r="W26" i="65"/>
  <c r="T26" i="65"/>
  <c r="Q26" i="65"/>
  <c r="W25" i="65"/>
  <c r="T25" i="65"/>
  <c r="Q25" i="65"/>
  <c r="L25" i="65"/>
  <c r="G25" i="66"/>
  <c r="I25" i="65"/>
  <c r="F25" i="66" s="1"/>
  <c r="F25" i="65"/>
  <c r="W24" i="65"/>
  <c r="T24" i="65"/>
  <c r="Q24" i="65"/>
  <c r="W23" i="65"/>
  <c r="T23" i="65"/>
  <c r="Q23" i="65"/>
  <c r="L23" i="65"/>
  <c r="G23" i="66"/>
  <c r="I23" i="65"/>
  <c r="F23" i="66"/>
  <c r="F23" i="65"/>
  <c r="W22" i="65"/>
  <c r="T22" i="65"/>
  <c r="Q22" i="65"/>
  <c r="W21" i="65"/>
  <c r="T21" i="65"/>
  <c r="Q21" i="65"/>
  <c r="L21" i="65"/>
  <c r="G21" i="66"/>
  <c r="I21" i="65"/>
  <c r="F21" i="66"/>
  <c r="F21" i="65"/>
  <c r="W20" i="65"/>
  <c r="T20" i="65"/>
  <c r="Q20" i="65"/>
  <c r="W19" i="65"/>
  <c r="T19" i="65"/>
  <c r="Q19" i="65"/>
  <c r="L19" i="65"/>
  <c r="G19" i="66"/>
  <c r="I19" i="65"/>
  <c r="F19" i="66"/>
  <c r="F19" i="65"/>
  <c r="W18" i="65"/>
  <c r="T18" i="65"/>
  <c r="Q18" i="65"/>
  <c r="W17" i="65"/>
  <c r="T17" i="65"/>
  <c r="Q17" i="65"/>
  <c r="L17" i="65"/>
  <c r="G17" i="66" s="1"/>
  <c r="I17" i="65"/>
  <c r="F17" i="66"/>
  <c r="F17" i="65"/>
  <c r="W16" i="65"/>
  <c r="T16" i="65"/>
  <c r="Q16" i="65"/>
  <c r="W15" i="65"/>
  <c r="T15" i="65"/>
  <c r="Q15" i="65"/>
  <c r="L15" i="65"/>
  <c r="G15" i="66"/>
  <c r="I15" i="65"/>
  <c r="F15" i="66"/>
  <c r="F15" i="65"/>
  <c r="W14" i="65"/>
  <c r="T14" i="65"/>
  <c r="Q14" i="65"/>
  <c r="W13" i="65"/>
  <c r="T13" i="65"/>
  <c r="Q13" i="65"/>
  <c r="L13" i="65"/>
  <c r="G13" i="66" s="1"/>
  <c r="I13" i="65"/>
  <c r="F13" i="66" s="1"/>
  <c r="F13" i="65"/>
  <c r="W12" i="65"/>
  <c r="T12" i="65"/>
  <c r="Q12" i="65"/>
  <c r="W11" i="65"/>
  <c r="T11" i="65"/>
  <c r="Q11" i="65"/>
  <c r="L11" i="65"/>
  <c r="G11" i="66" s="1"/>
  <c r="I11" i="65"/>
  <c r="F11" i="66"/>
  <c r="F11" i="65"/>
  <c r="W10" i="65"/>
  <c r="T10" i="65"/>
  <c r="Q10" i="65"/>
  <c r="W9" i="65"/>
  <c r="T9" i="65"/>
  <c r="Q9" i="65"/>
  <c r="L9" i="65"/>
  <c r="G9" i="66" s="1"/>
  <c r="I9" i="65"/>
  <c r="F9" i="66" s="1"/>
  <c r="F9" i="65"/>
  <c r="W8" i="65"/>
  <c r="T8" i="65"/>
  <c r="Q8" i="65"/>
  <c r="T7" i="65"/>
  <c r="W7" i="65"/>
  <c r="Q7" i="65"/>
  <c r="I7" i="65"/>
  <c r="F7" i="66" s="1"/>
  <c r="F7" i="65"/>
  <c r="B24" i="54"/>
  <c r="B23" i="54"/>
  <c r="B22" i="54"/>
  <c r="B21" i="54"/>
  <c r="B20" i="54"/>
  <c r="B19" i="54"/>
  <c r="B18" i="54"/>
  <c r="B17" i="54"/>
  <c r="B16" i="54"/>
  <c r="B15" i="54"/>
  <c r="B14" i="54"/>
  <c r="B13" i="54"/>
  <c r="B12" i="54"/>
  <c r="B11" i="54"/>
  <c r="B10" i="54"/>
  <c r="B9" i="54"/>
  <c r="B8" i="54"/>
  <c r="B7" i="54"/>
  <c r="B6" i="54"/>
  <c r="B35" i="54" s="1"/>
  <c r="B5" i="54"/>
  <c r="C34" i="54" s="1"/>
  <c r="B24" i="53"/>
  <c r="B23" i="53"/>
  <c r="B22" i="53"/>
  <c r="B21" i="53"/>
  <c r="B20" i="53"/>
  <c r="B19" i="53"/>
  <c r="B18" i="53"/>
  <c r="B17" i="53"/>
  <c r="B16" i="53"/>
  <c r="B15" i="53"/>
  <c r="B14" i="53"/>
  <c r="B44" i="53" s="1"/>
  <c r="B13" i="53"/>
  <c r="C48" i="53" s="1"/>
  <c r="B5" i="53"/>
  <c r="C37" i="53" s="1"/>
  <c r="B12" i="53"/>
  <c r="B11" i="53"/>
  <c r="B10" i="53"/>
  <c r="C45" i="53" s="1"/>
  <c r="B9" i="53"/>
  <c r="B8" i="53"/>
  <c r="B7" i="53"/>
  <c r="B6" i="53"/>
  <c r="C48" i="54"/>
  <c r="E48" i="54" s="1"/>
  <c r="B37" i="54"/>
  <c r="C37" i="54"/>
  <c r="E37" i="54" s="1"/>
  <c r="C43" i="54"/>
  <c r="B43" i="54"/>
  <c r="B38" i="54"/>
  <c r="B44" i="54"/>
  <c r="C38" i="54"/>
  <c r="C44" i="54"/>
  <c r="B33" i="54"/>
  <c r="B39" i="54"/>
  <c r="B45" i="54"/>
  <c r="C39" i="54"/>
  <c r="C45" i="54"/>
  <c r="B34" i="54"/>
  <c r="B40" i="54"/>
  <c r="B46" i="54"/>
  <c r="C40" i="54"/>
  <c r="C46" i="54"/>
  <c r="E46" i="54" s="1"/>
  <c r="B29" i="54"/>
  <c r="B41" i="54"/>
  <c r="B47" i="54"/>
  <c r="C41" i="54"/>
  <c r="E41" i="54" s="1"/>
  <c r="C47" i="54"/>
  <c r="B36" i="54"/>
  <c r="B42" i="54"/>
  <c r="B48" i="54"/>
  <c r="B31" i="54"/>
  <c r="C30" i="54"/>
  <c r="C36" i="54"/>
  <c r="C42" i="54"/>
  <c r="C33" i="53"/>
  <c r="B30" i="53"/>
  <c r="B34" i="53"/>
  <c r="B42" i="53"/>
  <c r="C30" i="53"/>
  <c r="C38" i="53"/>
  <c r="B35" i="53"/>
  <c r="B43" i="53"/>
  <c r="B47" i="53"/>
  <c r="B24" i="52"/>
  <c r="B23" i="52"/>
  <c r="B22" i="52"/>
  <c r="B21" i="52"/>
  <c r="B20" i="52"/>
  <c r="B19" i="52"/>
  <c r="B18" i="52"/>
  <c r="B47" i="52" s="1"/>
  <c r="B17" i="52"/>
  <c r="C31" i="52" s="1"/>
  <c r="B16" i="52"/>
  <c r="B15" i="52"/>
  <c r="B14" i="52"/>
  <c r="B13" i="52"/>
  <c r="B12" i="52"/>
  <c r="B11" i="52"/>
  <c r="B10" i="52"/>
  <c r="B9" i="52"/>
  <c r="B8" i="52"/>
  <c r="B7" i="52"/>
  <c r="B6" i="52"/>
  <c r="B34" i="52" s="1"/>
  <c r="B5" i="52"/>
  <c r="B40" i="52" s="1"/>
  <c r="E36" i="54"/>
  <c r="E38" i="54"/>
  <c r="E39" i="54"/>
  <c r="E40" i="54"/>
  <c r="E42" i="54"/>
  <c r="E43" i="54"/>
  <c r="E44" i="54"/>
  <c r="E45" i="54"/>
  <c r="E47" i="54"/>
  <c r="C43" i="52"/>
  <c r="B44" i="52"/>
  <c r="B48" i="52"/>
  <c r="B36" i="52"/>
  <c r="C33" i="52"/>
  <c r="C36" i="52"/>
  <c r="C48" i="52"/>
  <c r="E48" i="52"/>
  <c r="K36" i="46"/>
  <c r="J36" i="46"/>
  <c r="I36" i="46"/>
  <c r="H36" i="46"/>
  <c r="G36" i="46"/>
  <c r="K34" i="46"/>
  <c r="J34" i="46"/>
  <c r="I34" i="46"/>
  <c r="H34" i="46"/>
  <c r="G34" i="46"/>
  <c r="K32" i="46"/>
  <c r="J32" i="46"/>
  <c r="I32" i="46"/>
  <c r="H32" i="46"/>
  <c r="G32" i="46"/>
  <c r="K30" i="46"/>
  <c r="J30" i="46"/>
  <c r="I30" i="46"/>
  <c r="H30" i="46"/>
  <c r="G30" i="46"/>
  <c r="K28" i="46"/>
  <c r="J28" i="46"/>
  <c r="I28" i="46"/>
  <c r="H28" i="46"/>
  <c r="G28" i="46"/>
  <c r="K26" i="46"/>
  <c r="J26" i="46"/>
  <c r="I26" i="46"/>
  <c r="H26" i="46"/>
  <c r="G26" i="46"/>
  <c r="K24" i="46"/>
  <c r="J24" i="46"/>
  <c r="I24" i="46"/>
  <c r="H24" i="46"/>
  <c r="G24" i="46"/>
  <c r="K22" i="46"/>
  <c r="J22" i="46"/>
  <c r="I22" i="46"/>
  <c r="H22" i="46"/>
  <c r="G22" i="46"/>
  <c r="K20" i="46"/>
  <c r="J20" i="46"/>
  <c r="I20" i="46"/>
  <c r="H20" i="46"/>
  <c r="G20" i="46"/>
  <c r="K18" i="46"/>
  <c r="J18" i="46"/>
  <c r="I18" i="46"/>
  <c r="H18" i="46"/>
  <c r="G18" i="46"/>
  <c r="K16" i="46"/>
  <c r="J16" i="46"/>
  <c r="I16" i="46"/>
  <c r="H16" i="46"/>
  <c r="G16" i="46"/>
  <c r="K14" i="46"/>
  <c r="J14" i="46"/>
  <c r="I14" i="46"/>
  <c r="H14" i="46"/>
  <c r="G14" i="46"/>
  <c r="K12" i="46"/>
  <c r="J12" i="46"/>
  <c r="I12" i="46"/>
  <c r="H12" i="46"/>
  <c r="G12" i="46"/>
  <c r="K10" i="46"/>
  <c r="J10" i="46"/>
  <c r="I10" i="46"/>
  <c r="H10" i="46"/>
  <c r="G10" i="46"/>
  <c r="K8" i="46"/>
  <c r="J8" i="46"/>
  <c r="I8" i="46"/>
  <c r="H8" i="46"/>
  <c r="G8" i="46"/>
  <c r="K6" i="46"/>
  <c r="J6" i="46"/>
  <c r="I6" i="46"/>
  <c r="H6" i="46"/>
  <c r="G6" i="46"/>
  <c r="A369" i="2"/>
  <c r="A357" i="2"/>
  <c r="I5" i="66" s="1"/>
  <c r="A345" i="2"/>
  <c r="A348" i="2"/>
  <c r="N5" i="65" s="1"/>
  <c r="A368" i="2"/>
  <c r="C1" i="66" s="1"/>
  <c r="A353" i="2"/>
  <c r="J5" i="65" s="1"/>
  <c r="U5" i="65" s="1"/>
  <c r="A349" i="2"/>
  <c r="P5" i="65" s="1"/>
  <c r="A343" i="2"/>
  <c r="A352" i="2"/>
  <c r="F5" i="66" s="1"/>
  <c r="A346" i="2"/>
  <c r="A366" i="2"/>
  <c r="E407" i="67" s="1"/>
  <c r="E563" i="68"/>
  <c r="A354" i="2"/>
  <c r="K5" i="65" s="1"/>
  <c r="V5" i="65" s="1"/>
  <c r="A347" i="2"/>
  <c r="B5" i="66" s="1"/>
  <c r="H5" i="66" s="1"/>
  <c r="A364" i="2"/>
  <c r="D151" i="67" s="1"/>
  <c r="A363" i="2"/>
  <c r="D9" i="68" s="1"/>
  <c r="A351" i="2"/>
  <c r="H5" i="65" s="1"/>
  <c r="S5" i="65" s="1"/>
  <c r="A361" i="2"/>
  <c r="K5" i="66" s="1"/>
  <c r="A359" i="2"/>
  <c r="L5" i="66" s="1"/>
  <c r="A362" i="2"/>
  <c r="C1" i="68" s="1"/>
  <c r="A337" i="2"/>
  <c r="B2" i="53" s="1"/>
  <c r="A338" i="2"/>
  <c r="D2" i="52" s="1"/>
  <c r="A341" i="2"/>
  <c r="G4" i="53" s="1"/>
  <c r="A584" i="2"/>
  <c r="B1" i="50" s="1"/>
  <c r="A333" i="2"/>
  <c r="C4" i="52" s="1"/>
  <c r="A64" i="2"/>
  <c r="G4" i="81" s="1"/>
  <c r="A331" i="2"/>
  <c r="B1" i="52" s="1"/>
  <c r="A587" i="2"/>
  <c r="D5" i="59" s="1"/>
  <c r="A579" i="2"/>
  <c r="A335" i="2"/>
  <c r="G4" i="52" s="1"/>
  <c r="A336" i="2"/>
  <c r="H4" i="53" s="1"/>
  <c r="A323" i="2"/>
  <c r="A329" i="2"/>
  <c r="A328" i="2"/>
  <c r="A314" i="2"/>
  <c r="A320" i="2"/>
  <c r="A330" i="2"/>
  <c r="A313" i="2"/>
  <c r="A311" i="2"/>
  <c r="A317" i="2"/>
  <c r="A312" i="2"/>
  <c r="A318" i="2"/>
  <c r="A321" i="2"/>
  <c r="A319" i="2"/>
  <c r="A583" i="2"/>
  <c r="D5" i="45" s="1"/>
  <c r="D200" i="39"/>
  <c r="A200" i="39"/>
  <c r="D199" i="39"/>
  <c r="A199" i="39"/>
  <c r="D198" i="39"/>
  <c r="A198" i="39"/>
  <c r="D197" i="39"/>
  <c r="A197" i="39"/>
  <c r="D196" i="39"/>
  <c r="A196" i="39"/>
  <c r="D195" i="39"/>
  <c r="A195" i="39"/>
  <c r="D194" i="39"/>
  <c r="A194" i="39"/>
  <c r="D193" i="39"/>
  <c r="A193" i="39"/>
  <c r="D191" i="39"/>
  <c r="A191" i="39"/>
  <c r="D190" i="39"/>
  <c r="A190" i="39"/>
  <c r="D189" i="39"/>
  <c r="A189" i="39"/>
  <c r="D188" i="39"/>
  <c r="A188" i="39"/>
  <c r="D187" i="39"/>
  <c r="A187" i="39"/>
  <c r="D185" i="39"/>
  <c r="A185" i="39"/>
  <c r="D184" i="39"/>
  <c r="A184" i="39"/>
  <c r="D183" i="39"/>
  <c r="A183" i="39"/>
  <c r="D182" i="39"/>
  <c r="A182" i="39"/>
  <c r="D181" i="39"/>
  <c r="A181" i="39"/>
  <c r="D180" i="39"/>
  <c r="A180" i="39"/>
  <c r="D178" i="39"/>
  <c r="A178" i="39"/>
  <c r="D177" i="39"/>
  <c r="A177" i="39"/>
  <c r="D176" i="39"/>
  <c r="A176" i="39"/>
  <c r="D175" i="39"/>
  <c r="A175" i="39"/>
  <c r="D174" i="39"/>
  <c r="A174" i="39"/>
  <c r="D173" i="39"/>
  <c r="A173" i="39"/>
  <c r="D172" i="39"/>
  <c r="A172" i="39"/>
  <c r="D170" i="39"/>
  <c r="A170" i="39"/>
  <c r="D169" i="39"/>
  <c r="A169" i="39"/>
  <c r="D168" i="39"/>
  <c r="A168" i="39"/>
  <c r="D167" i="39"/>
  <c r="A167" i="39"/>
  <c r="D166" i="39"/>
  <c r="A166" i="39"/>
  <c r="D165" i="39"/>
  <c r="A165" i="39"/>
  <c r="D164" i="39"/>
  <c r="A164" i="39"/>
  <c r="D162" i="39"/>
  <c r="A162" i="39"/>
  <c r="D161" i="39"/>
  <c r="A161" i="39"/>
  <c r="D160" i="39"/>
  <c r="A160" i="39"/>
  <c r="D159" i="39"/>
  <c r="A159" i="39"/>
  <c r="D158" i="39"/>
  <c r="A158" i="39"/>
  <c r="D157" i="39"/>
  <c r="A157" i="39"/>
  <c r="D156" i="39"/>
  <c r="A156" i="39"/>
  <c r="D155" i="39"/>
  <c r="A155" i="39"/>
  <c r="D153" i="39"/>
  <c r="A153" i="39"/>
  <c r="D152" i="39"/>
  <c r="A152" i="39"/>
  <c r="D151" i="39"/>
  <c r="A151" i="39"/>
  <c r="D149" i="39"/>
  <c r="A149" i="39"/>
  <c r="D148" i="39"/>
  <c r="A148" i="39"/>
  <c r="D147" i="39"/>
  <c r="A147" i="39"/>
  <c r="D146" i="39"/>
  <c r="A146" i="39"/>
  <c r="D145" i="39"/>
  <c r="A145" i="39"/>
  <c r="D144" i="39"/>
  <c r="A144" i="39"/>
  <c r="D143" i="39"/>
  <c r="A143" i="39"/>
  <c r="A133" i="39" s="1"/>
  <c r="A130" i="39" s="1"/>
  <c r="D142" i="39"/>
  <c r="A142" i="39"/>
  <c r="D140" i="39"/>
  <c r="A140" i="39"/>
  <c r="D139" i="39"/>
  <c r="A139" i="39"/>
  <c r="F138" i="39"/>
  <c r="D138" i="39"/>
  <c r="A138" i="39"/>
  <c r="F137" i="39"/>
  <c r="D137" i="39"/>
  <c r="A137" i="39"/>
  <c r="F136" i="39"/>
  <c r="D136" i="39"/>
  <c r="A136" i="39"/>
  <c r="F135" i="39"/>
  <c r="D135" i="39"/>
  <c r="A135" i="39"/>
  <c r="F134" i="39"/>
  <c r="D134" i="39"/>
  <c r="D133" i="39" s="1"/>
  <c r="D130" i="39" s="1"/>
  <c r="A134" i="39"/>
  <c r="B133" i="39"/>
  <c r="B130" i="39" s="1"/>
  <c r="B90" i="39"/>
  <c r="B89" i="39"/>
  <c r="B88" i="39"/>
  <c r="C87" i="39"/>
  <c r="B87" i="39"/>
  <c r="B86" i="39"/>
  <c r="B85" i="39"/>
  <c r="B84" i="39"/>
  <c r="B83" i="39"/>
  <c r="B82" i="39"/>
  <c r="N69" i="39"/>
  <c r="C90" i="39" s="1"/>
  <c r="N63" i="39"/>
  <c r="C89" i="39"/>
  <c r="N56" i="39"/>
  <c r="C88" i="39" s="1"/>
  <c r="N48" i="39"/>
  <c r="N40" i="39"/>
  <c r="C86" i="39"/>
  <c r="N31" i="39"/>
  <c r="C85" i="39"/>
  <c r="N27" i="39"/>
  <c r="C84" i="39"/>
  <c r="N18" i="39"/>
  <c r="C83" i="39"/>
  <c r="N10" i="39"/>
  <c r="C82" i="39" s="1"/>
  <c r="G10" i="39"/>
  <c r="P7" i="39"/>
  <c r="N7" i="39"/>
  <c r="L7" i="39"/>
  <c r="J7" i="39"/>
  <c r="H7" i="39"/>
  <c r="E4" i="39"/>
  <c r="D164" i="38"/>
  <c r="A164" i="38"/>
  <c r="D163" i="38"/>
  <c r="A163" i="38"/>
  <c r="D161" i="38"/>
  <c r="A161" i="38"/>
  <c r="D160" i="38"/>
  <c r="A160" i="38"/>
  <c r="D159" i="38"/>
  <c r="A159" i="38"/>
  <c r="D158" i="38"/>
  <c r="A158" i="38"/>
  <c r="D156" i="38"/>
  <c r="A156" i="38"/>
  <c r="D155" i="38"/>
  <c r="A155" i="38"/>
  <c r="D154" i="38"/>
  <c r="A154" i="38"/>
  <c r="D152" i="38"/>
  <c r="A152" i="38"/>
  <c r="D151" i="38"/>
  <c r="A151" i="38"/>
  <c r="D150" i="38"/>
  <c r="A150" i="38"/>
  <c r="D149" i="38"/>
  <c r="A149" i="38"/>
  <c r="D147" i="38"/>
  <c r="A147" i="38"/>
  <c r="D146" i="38"/>
  <c r="A146" i="38"/>
  <c r="D145" i="38"/>
  <c r="A145" i="38"/>
  <c r="D144" i="38"/>
  <c r="A144" i="38"/>
  <c r="D143" i="38"/>
  <c r="A143" i="38"/>
  <c r="D142" i="38"/>
  <c r="A142" i="38"/>
  <c r="D141" i="38"/>
  <c r="A141" i="38"/>
  <c r="D139" i="38"/>
  <c r="A139" i="38"/>
  <c r="D138" i="38"/>
  <c r="A138" i="38"/>
  <c r="D137" i="38"/>
  <c r="A137" i="38"/>
  <c r="D135" i="38"/>
  <c r="A135" i="38"/>
  <c r="D134" i="38"/>
  <c r="A134" i="38"/>
  <c r="D133" i="38"/>
  <c r="A133" i="38"/>
  <c r="D132" i="38"/>
  <c r="A132" i="38"/>
  <c r="D130" i="38"/>
  <c r="A130" i="38"/>
  <c r="D129" i="38"/>
  <c r="A129" i="38"/>
  <c r="D128" i="38"/>
  <c r="A128" i="38"/>
  <c r="D127" i="38"/>
  <c r="A127" i="38"/>
  <c r="D126" i="38"/>
  <c r="A126" i="38"/>
  <c r="D125" i="38"/>
  <c r="A125" i="38"/>
  <c r="D124" i="38"/>
  <c r="A124" i="38"/>
  <c r="D123" i="38"/>
  <c r="A123" i="38"/>
  <c r="A117" i="38" s="1"/>
  <c r="A115" i="38" s="1"/>
  <c r="D121" i="38"/>
  <c r="A121" i="38"/>
  <c r="I120" i="38"/>
  <c r="D120" i="38"/>
  <c r="A120" i="38"/>
  <c r="I119" i="38"/>
  <c r="D119" i="38"/>
  <c r="A119" i="38"/>
  <c r="I118" i="38"/>
  <c r="D118" i="38"/>
  <c r="A118" i="38"/>
  <c r="I117" i="38"/>
  <c r="B117" i="38"/>
  <c r="B115" i="38" s="1"/>
  <c r="I116" i="38"/>
  <c r="B70" i="38"/>
  <c r="B69" i="38"/>
  <c r="B68" i="38"/>
  <c r="C67" i="38"/>
  <c r="B67" i="38"/>
  <c r="N33" i="38"/>
  <c r="C66" i="38"/>
  <c r="B66" i="38"/>
  <c r="B65" i="38"/>
  <c r="B64" i="38"/>
  <c r="B63" i="38"/>
  <c r="B62" i="38"/>
  <c r="N55" i="38"/>
  <c r="C70" i="38"/>
  <c r="N50" i="38"/>
  <c r="C69" i="38" s="1"/>
  <c r="N46" i="38"/>
  <c r="C68" i="38"/>
  <c r="N41" i="38"/>
  <c r="N29" i="38"/>
  <c r="C65" i="38"/>
  <c r="N24" i="38"/>
  <c r="C64" i="38" s="1"/>
  <c r="N15" i="38"/>
  <c r="C63" i="38" s="1"/>
  <c r="N10" i="38"/>
  <c r="E4" i="38" s="1"/>
  <c r="G10" i="38"/>
  <c r="P7" i="38"/>
  <c r="N7" i="38"/>
  <c r="L7" i="38"/>
  <c r="J7" i="38"/>
  <c r="H7" i="38"/>
  <c r="E3" i="38"/>
  <c r="P24" i="24"/>
  <c r="I12" i="24" s="1"/>
  <c r="N24" i="24"/>
  <c r="L24" i="24"/>
  <c r="G12" i="24" s="1"/>
  <c r="J24" i="24"/>
  <c r="F12" i="24"/>
  <c r="H24" i="24"/>
  <c r="E12" i="24" s="1"/>
  <c r="F24" i="24"/>
  <c r="D12" i="24" s="1"/>
  <c r="P23" i="24"/>
  <c r="I11" i="24"/>
  <c r="N23" i="24"/>
  <c r="H11" i="24" s="1"/>
  <c r="L23" i="24"/>
  <c r="G11" i="24" s="1"/>
  <c r="J23" i="24"/>
  <c r="F11" i="24"/>
  <c r="H23" i="24"/>
  <c r="E11" i="24"/>
  <c r="F23" i="24"/>
  <c r="P22" i="24"/>
  <c r="I10" i="24"/>
  <c r="N22" i="24"/>
  <c r="H10" i="24" s="1"/>
  <c r="L22" i="24"/>
  <c r="G10" i="24"/>
  <c r="J22" i="24"/>
  <c r="F10" i="24"/>
  <c r="H22" i="24"/>
  <c r="E10" i="24" s="1"/>
  <c r="F22" i="24"/>
  <c r="D10" i="24"/>
  <c r="P21" i="24"/>
  <c r="I9" i="24"/>
  <c r="N21" i="24"/>
  <c r="H9" i="24"/>
  <c r="L21" i="24"/>
  <c r="G9" i="24"/>
  <c r="J21" i="24"/>
  <c r="F9" i="24"/>
  <c r="H21" i="24"/>
  <c r="E9" i="24" s="1"/>
  <c r="F21" i="24"/>
  <c r="D9" i="24" s="1"/>
  <c r="P20" i="24"/>
  <c r="N20" i="24"/>
  <c r="H8" i="24"/>
  <c r="L20" i="24"/>
  <c r="L25" i="24" s="1"/>
  <c r="G8" i="24"/>
  <c r="J20" i="24"/>
  <c r="F8" i="24" s="1"/>
  <c r="H20" i="24"/>
  <c r="E8" i="24" s="1"/>
  <c r="F20" i="24"/>
  <c r="D8" i="24"/>
  <c r="P19" i="24"/>
  <c r="I7" i="24" s="1"/>
  <c r="N19" i="24"/>
  <c r="H7" i="24" s="1"/>
  <c r="L19" i="24"/>
  <c r="G7" i="24"/>
  <c r="J19" i="24"/>
  <c r="F7" i="24" s="1"/>
  <c r="H19" i="24"/>
  <c r="F19" i="24"/>
  <c r="D7" i="24"/>
  <c r="P18" i="24"/>
  <c r="I6" i="24" s="1"/>
  <c r="N18" i="24"/>
  <c r="H6" i="24"/>
  <c r="L18" i="24"/>
  <c r="J18" i="24"/>
  <c r="F6" i="24"/>
  <c r="H18" i="24"/>
  <c r="H25" i="24" s="1"/>
  <c r="F18" i="24"/>
  <c r="D6" i="24"/>
  <c r="P17" i="24"/>
  <c r="N17" i="24"/>
  <c r="H5" i="24" s="1"/>
  <c r="L17" i="24"/>
  <c r="J17" i="24"/>
  <c r="J25" i="24" s="1"/>
  <c r="H17" i="24"/>
  <c r="E5" i="24"/>
  <c r="F17" i="24"/>
  <c r="F25" i="24" s="1"/>
  <c r="D5" i="24"/>
  <c r="H12" i="24"/>
  <c r="C12" i="24"/>
  <c r="D11" i="24"/>
  <c r="C11" i="24"/>
  <c r="C10" i="24"/>
  <c r="C9" i="24"/>
  <c r="I8" i="24"/>
  <c r="C8" i="24"/>
  <c r="E7" i="24"/>
  <c r="C7" i="24"/>
  <c r="G6" i="24"/>
  <c r="C6" i="24"/>
  <c r="C5" i="24"/>
  <c r="I4" i="24"/>
  <c r="H4" i="24"/>
  <c r="G4" i="24"/>
  <c r="F4" i="24"/>
  <c r="E4" i="24"/>
  <c r="D4" i="24"/>
  <c r="D89" i="23"/>
  <c r="D75" i="23"/>
  <c r="D61" i="23"/>
  <c r="D47" i="23"/>
  <c r="D33" i="23"/>
  <c r="D19" i="23"/>
  <c r="D10" i="13"/>
  <c r="B88" i="13"/>
  <c r="B89" i="13" s="1"/>
  <c r="B90" i="13" s="1"/>
  <c r="B91" i="13" s="1"/>
  <c r="B92" i="13" s="1"/>
  <c r="B93" i="13" s="1"/>
  <c r="B94" i="13" s="1"/>
  <c r="B95" i="13" s="1"/>
  <c r="B96" i="13" s="1"/>
  <c r="B74" i="13"/>
  <c r="B75" i="13"/>
  <c r="B76" i="13" s="1"/>
  <c r="B77" i="13" s="1"/>
  <c r="B78" i="13" s="1"/>
  <c r="B79" i="13" s="1"/>
  <c r="B80" i="13" s="1"/>
  <c r="B81" i="13" s="1"/>
  <c r="B82" i="13" s="1"/>
  <c r="B60" i="13"/>
  <c r="B61" i="13"/>
  <c r="B62" i="13" s="1"/>
  <c r="B63" i="13" s="1"/>
  <c r="B64" i="13" s="1"/>
  <c r="B65" i="13" s="1"/>
  <c r="B66" i="13" s="1"/>
  <c r="B67" i="13" s="1"/>
  <c r="B68" i="13" s="1"/>
  <c r="B46" i="13"/>
  <c r="B47" i="13"/>
  <c r="B48" i="13" s="1"/>
  <c r="B49" i="13" s="1"/>
  <c r="B50" i="13" s="1"/>
  <c r="B51" i="13" s="1"/>
  <c r="B52" i="13" s="1"/>
  <c r="B53" i="13" s="1"/>
  <c r="B54" i="13" s="1"/>
  <c r="B32" i="13"/>
  <c r="B33" i="13"/>
  <c r="B34" i="13" s="1"/>
  <c r="B35" i="13" s="1"/>
  <c r="B36" i="13" s="1"/>
  <c r="B37" i="13" s="1"/>
  <c r="B38" i="13" s="1"/>
  <c r="B39" i="13" s="1"/>
  <c r="B40" i="13" s="1"/>
  <c r="B18" i="13"/>
  <c r="B19" i="13"/>
  <c r="B20" i="13" s="1"/>
  <c r="B21" i="13" s="1"/>
  <c r="B22" i="13" s="1"/>
  <c r="B23" i="13" s="1"/>
  <c r="B24" i="13" s="1"/>
  <c r="B25" i="13" s="1"/>
  <c r="B26" i="13" s="1"/>
  <c r="I18" i="13"/>
  <c r="I17" i="13"/>
  <c r="I5" i="24"/>
  <c r="A298" i="2"/>
  <c r="B1" i="1" s="1"/>
  <c r="A304" i="2"/>
  <c r="C3" i="46" s="1"/>
  <c r="A299" i="2"/>
  <c r="B4" i="53" s="1"/>
  <c r="A306" i="2"/>
  <c r="E3" i="46"/>
  <c r="A307" i="2"/>
  <c r="I3" i="46" s="1"/>
  <c r="A308" i="2"/>
  <c r="F5" i="46" s="1"/>
  <c r="A42" i="2"/>
  <c r="A107" i="2"/>
  <c r="I4" i="34" s="1"/>
  <c r="A43" i="2"/>
  <c r="A115" i="2"/>
  <c r="F3" i="37" s="1"/>
  <c r="A47" i="2"/>
  <c r="A119" i="2"/>
  <c r="A10" i="2"/>
  <c r="A125" i="2"/>
  <c r="G24" i="18" s="1"/>
  <c r="A16" i="2"/>
  <c r="A84" i="2"/>
  <c r="H16" i="13" s="1"/>
  <c r="G4" i="19"/>
  <c r="A88" i="2"/>
  <c r="C71" i="13" s="1"/>
  <c r="A95" i="2"/>
  <c r="A102" i="2"/>
  <c r="F4" i="34" s="1"/>
  <c r="A132" i="2"/>
  <c r="A85" i="2"/>
  <c r="C6" i="13" s="1"/>
  <c r="A104" i="2"/>
  <c r="D4" i="34"/>
  <c r="A44" i="2"/>
  <c r="A45" i="2"/>
  <c r="A86" i="2"/>
  <c r="C7" i="13" s="1"/>
  <c r="A105" i="2"/>
  <c r="G4" i="34" s="1"/>
  <c r="A117" i="2"/>
  <c r="A126" i="2"/>
  <c r="B1" i="19" s="1"/>
  <c r="A296" i="2"/>
  <c r="B1" i="78" s="1"/>
  <c r="A11" i="2"/>
  <c r="A116" i="2"/>
  <c r="B1" i="18" s="1"/>
  <c r="A35" i="2"/>
  <c r="C4" i="80" s="1"/>
  <c r="A46" i="2"/>
  <c r="A94" i="2"/>
  <c r="A118" i="2"/>
  <c r="A291" i="2"/>
  <c r="F5" i="24"/>
  <c r="G5" i="24"/>
  <c r="A128" i="2"/>
  <c r="A1" i="2"/>
  <c r="A89" i="2"/>
  <c r="A96" i="2"/>
  <c r="A108" i="2"/>
  <c r="A78" i="2"/>
  <c r="B4" i="19" s="1"/>
  <c r="B16" i="13"/>
  <c r="B30" i="13" s="1"/>
  <c r="A97" i="2"/>
  <c r="A121" i="2"/>
  <c r="A134" i="2"/>
  <c r="A269" i="2"/>
  <c r="A280" i="2"/>
  <c r="B77" i="23" s="1"/>
  <c r="A580" i="2"/>
  <c r="B1" i="41" s="1"/>
  <c r="A279" i="2"/>
  <c r="B63" i="23" s="1"/>
  <c r="A278" i="2"/>
  <c r="B49" i="23" s="1"/>
  <c r="A294" i="2"/>
  <c r="E16" i="24" s="1"/>
  <c r="A293" i="2"/>
  <c r="D15" i="24" s="1"/>
  <c r="A292" i="2"/>
  <c r="A273" i="2"/>
  <c r="A110" i="2"/>
  <c r="B3" i="37"/>
  <c r="A281" i="2"/>
  <c r="A48" i="2"/>
  <c r="B1" i="70"/>
  <c r="A122" i="2"/>
  <c r="C5" i="18" s="1"/>
  <c r="A40" i="2"/>
  <c r="G4" i="87" s="1"/>
  <c r="A50" i="2"/>
  <c r="A80" i="2"/>
  <c r="D16" i="13" s="1"/>
  <c r="A111" i="2"/>
  <c r="C3" i="37" s="1"/>
  <c r="A123" i="2"/>
  <c r="G5" i="18" s="1"/>
  <c r="A136" i="2"/>
  <c r="A7" i="2"/>
  <c r="A19" i="2"/>
  <c r="A41" i="2"/>
  <c r="I4" i="80" s="1"/>
  <c r="A100" i="2"/>
  <c r="B4" i="34" s="1"/>
  <c r="A124" i="2"/>
  <c r="C24" i="18"/>
  <c r="A137" i="2"/>
  <c r="D117" i="38"/>
  <c r="D115" i="38" s="1"/>
  <c r="C62" i="38"/>
  <c r="E3" i="39"/>
  <c r="B21" i="1"/>
  <c r="B26" i="1"/>
  <c r="B22" i="1"/>
  <c r="B23" i="1"/>
  <c r="B24" i="1"/>
  <c r="B17" i="1"/>
  <c r="B18" i="1"/>
  <c r="B14" i="1"/>
  <c r="B19" i="1"/>
  <c r="B16" i="1"/>
  <c r="B15" i="1"/>
  <c r="B13" i="1"/>
  <c r="B9" i="1"/>
  <c r="B25" i="1"/>
  <c r="B20" i="1"/>
  <c r="B8" i="1"/>
  <c r="B7" i="1"/>
  <c r="F16" i="1" s="1"/>
  <c r="B12" i="1"/>
  <c r="B11" i="1"/>
  <c r="B10" i="1"/>
  <c r="E13" i="1" s="1"/>
  <c r="F26" i="1"/>
  <c r="E25" i="1"/>
  <c r="D501" i="68"/>
  <c r="D537" i="68"/>
  <c r="D463" i="68"/>
  <c r="D837" i="68"/>
  <c r="D933" i="68"/>
  <c r="D381" i="68"/>
  <c r="D813" i="68"/>
  <c r="D177" i="68"/>
  <c r="D513" i="68"/>
  <c r="D417" i="68"/>
  <c r="D381" i="67"/>
  <c r="D117" i="68"/>
  <c r="D549" i="68"/>
  <c r="D417" i="67"/>
  <c r="D681" i="68"/>
  <c r="D957" i="68"/>
  <c r="D753" i="68"/>
  <c r="D93" i="67"/>
  <c r="D69" i="67"/>
  <c r="D441" i="67"/>
  <c r="D693" i="68"/>
  <c r="D105" i="67"/>
  <c r="D669" i="68"/>
  <c r="D177" i="67"/>
  <c r="D33" i="68"/>
  <c r="D897" i="68"/>
  <c r="D369" i="68"/>
  <c r="A285" i="2"/>
  <c r="E8" i="23" s="1"/>
  <c r="A282" i="2"/>
  <c r="B8" i="23" s="1"/>
  <c r="A376" i="2"/>
  <c r="A375" i="2"/>
  <c r="A379" i="2"/>
  <c r="A377" i="2"/>
  <c r="A415" i="2"/>
  <c r="A411" i="2"/>
  <c r="A406" i="2"/>
  <c r="A412" i="2"/>
  <c r="A219" i="2"/>
  <c r="D29" i="39" s="1"/>
  <c r="A257" i="2"/>
  <c r="D67" i="39" s="1"/>
  <c r="A234" i="2"/>
  <c r="D44" i="39" s="1"/>
  <c r="A202" i="2"/>
  <c r="D12" i="39" s="1"/>
  <c r="A309" i="2"/>
  <c r="B5" i="46" s="1"/>
  <c r="A61" i="2"/>
  <c r="A261" i="2"/>
  <c r="D71" i="39" s="1"/>
  <c r="A224" i="2"/>
  <c r="D34" i="39" s="1"/>
  <c r="A146" i="2"/>
  <c r="D13" i="38" s="1"/>
  <c r="A144" i="2"/>
  <c r="D11" i="38" s="1"/>
  <c r="A196" i="2"/>
  <c r="A156" i="2"/>
  <c r="D23" i="38" s="1"/>
  <c r="A177" i="2"/>
  <c r="D44" i="38" s="1"/>
  <c r="A264" i="2"/>
  <c r="D74" i="39" s="1"/>
  <c r="A251" i="2"/>
  <c r="D61" i="39" s="1"/>
  <c r="A176" i="2"/>
  <c r="D43" i="38" s="1"/>
  <c r="A139" i="2"/>
  <c r="P3" i="39" s="1"/>
  <c r="A463" i="2"/>
  <c r="A508" i="2"/>
  <c r="A160" i="2"/>
  <c r="D27" i="38" s="1"/>
  <c r="A151" i="2"/>
  <c r="D18" i="38" s="1"/>
  <c r="A421" i="2"/>
  <c r="B1" i="77" s="1"/>
  <c r="A495" i="2"/>
  <c r="A433" i="2"/>
  <c r="A464" i="2"/>
  <c r="A432" i="2"/>
  <c r="A500" i="2"/>
  <c r="A65" i="2"/>
  <c r="B1" i="81"/>
  <c r="A513" i="2"/>
  <c r="A68" i="2"/>
  <c r="A486" i="2"/>
  <c r="A503" i="2"/>
  <c r="A451" i="2"/>
  <c r="A54" i="2"/>
  <c r="A467" i="2"/>
  <c r="B5" i="86" s="1"/>
  <c r="A52" i="2"/>
  <c r="A284" i="2"/>
  <c r="D8" i="23" s="1"/>
  <c r="D22" i="23" s="1"/>
  <c r="D36" i="23" s="1"/>
  <c r="D50" i="23" s="1"/>
  <c r="D64" i="23" s="1"/>
  <c r="D78" i="23" s="1"/>
  <c r="A387" i="2"/>
  <c r="D4" i="71" s="1"/>
  <c r="A62" i="2"/>
  <c r="F4" i="54" s="1"/>
  <c r="A401" i="2"/>
  <c r="A414" i="2"/>
  <c r="A207" i="2"/>
  <c r="D17" i="39" s="1"/>
  <c r="A244" i="2"/>
  <c r="D54" i="39" s="1"/>
  <c r="A239" i="2"/>
  <c r="D49" i="39" s="1"/>
  <c r="A232" i="2"/>
  <c r="D42" i="39" s="1"/>
  <c r="A248" i="2"/>
  <c r="D58" i="39"/>
  <c r="A180" i="2"/>
  <c r="D47" i="38" s="1"/>
  <c r="A172" i="2"/>
  <c r="D39" i="38" s="1"/>
  <c r="A164" i="2"/>
  <c r="D31" i="38" s="1"/>
  <c r="A138" i="2"/>
  <c r="B1" i="38" s="1"/>
  <c r="A437" i="2"/>
  <c r="A66" i="2"/>
  <c r="C4" i="81" s="1"/>
  <c r="A449" i="2"/>
  <c r="G5" i="84" s="1"/>
  <c r="A439" i="2"/>
  <c r="B1" i="84" s="1"/>
  <c r="A507" i="2"/>
  <c r="A504" i="2"/>
  <c r="A476" i="2"/>
  <c r="A468" i="2"/>
  <c r="B6" i="86" s="1"/>
  <c r="A479" i="2"/>
  <c r="A53" i="2"/>
  <c r="A283" i="2"/>
  <c r="C8" i="23" s="1"/>
  <c r="A384" i="2"/>
  <c r="B4" i="71" s="1"/>
  <c r="A370" i="2"/>
  <c r="B1" i="71" s="1"/>
  <c r="A6" i="2"/>
  <c r="A400" i="2"/>
  <c r="A396" i="2"/>
  <c r="E3" i="76" s="1"/>
  <c r="A246" i="2"/>
  <c r="A242" i="2"/>
  <c r="D52" i="39" s="1"/>
  <c r="A230" i="2"/>
  <c r="A236" i="2"/>
  <c r="D46" i="39" s="1"/>
  <c r="A185" i="2"/>
  <c r="D52" i="38" s="1"/>
  <c r="A162" i="2"/>
  <c r="A194" i="2"/>
  <c r="A189" i="2"/>
  <c r="D56" i="38" s="1"/>
  <c r="A422" i="2"/>
  <c r="B6" i="77" s="1"/>
  <c r="A425" i="2"/>
  <c r="C23" i="77" s="1"/>
  <c r="A67" i="2"/>
  <c r="E4" i="81" s="1"/>
  <c r="A450" i="2"/>
  <c r="A445" i="2"/>
  <c r="A481" i="2"/>
  <c r="A470" i="2"/>
  <c r="A488" i="2"/>
  <c r="A494" i="2"/>
  <c r="A491" i="2"/>
  <c r="D259" i="67"/>
  <c r="D823" i="68"/>
  <c r="A288" i="2"/>
  <c r="H8" i="23" s="1"/>
  <c r="H22" i="23" s="1"/>
  <c r="H36" i="23" s="1"/>
  <c r="H50" i="23" s="1"/>
  <c r="H64" i="23" s="1"/>
  <c r="H78" i="23" s="1"/>
  <c r="A410" i="2"/>
  <c r="A418" i="2"/>
  <c r="A420" i="2"/>
  <c r="A222" i="2"/>
  <c r="D32" i="39" s="1"/>
  <c r="A252" i="2"/>
  <c r="D62" i="39" s="1"/>
  <c r="A203" i="2"/>
  <c r="D13" i="39" s="1"/>
  <c r="A212" i="2"/>
  <c r="D22" i="39" s="1"/>
  <c r="A170" i="2"/>
  <c r="D37" i="38" s="1"/>
  <c r="A195" i="2"/>
  <c r="U6" i="39" s="1"/>
  <c r="A190" i="2"/>
  <c r="D57" i="38" s="1"/>
  <c r="A165" i="2"/>
  <c r="D32" i="38" s="1"/>
  <c r="A150" i="2"/>
  <c r="D17" i="38" s="1"/>
  <c r="A431" i="2"/>
  <c r="A436" i="2"/>
  <c r="A69" i="2"/>
  <c r="F4" i="81" s="1"/>
  <c r="A447" i="2"/>
  <c r="A493" i="2"/>
  <c r="A510" i="2"/>
  <c r="A515" i="2"/>
  <c r="A56" i="2"/>
  <c r="D67" i="68"/>
  <c r="D259" i="68"/>
  <c r="D691" i="68"/>
  <c r="D751" i="68"/>
  <c r="A287" i="2"/>
  <c r="G8" i="23" s="1"/>
  <c r="A388" i="2"/>
  <c r="E4" i="71" s="1"/>
  <c r="A392" i="2"/>
  <c r="G4" i="71" s="1"/>
  <c r="A135" i="2"/>
  <c r="A413" i="2"/>
  <c r="A397" i="2"/>
  <c r="G3" i="76" s="1"/>
  <c r="A258" i="2"/>
  <c r="D68" i="39" s="1"/>
  <c r="A254" i="2"/>
  <c r="D64" i="39" s="1"/>
  <c r="A240" i="2"/>
  <c r="D50" i="39" s="1"/>
  <c r="A237" i="2"/>
  <c r="D47" i="39"/>
  <c r="A210" i="2"/>
  <c r="D20" i="39" s="1"/>
  <c r="A182" i="2"/>
  <c r="D49" i="38" s="1"/>
  <c r="A178" i="2"/>
  <c r="D45" i="38" s="1"/>
  <c r="A153" i="2"/>
  <c r="D20" i="38" s="1"/>
  <c r="A184" i="2"/>
  <c r="D51" i="38" s="1"/>
  <c r="A430" i="2"/>
  <c r="A38" i="2"/>
  <c r="G4" i="80" s="1"/>
  <c r="A452" i="2"/>
  <c r="A454" i="2"/>
  <c r="E5" i="84" s="1"/>
  <c r="A506" i="2"/>
  <c r="A475" i="2"/>
  <c r="A505" i="2"/>
  <c r="A478" i="2"/>
  <c r="A516" i="2"/>
  <c r="A55" i="2"/>
  <c r="D127" i="67"/>
  <c r="D895" i="68"/>
  <c r="D727" i="68"/>
  <c r="D247" i="68"/>
  <c r="D643" i="68"/>
  <c r="A289" i="2"/>
  <c r="I8" i="23" s="1"/>
  <c r="A310" i="2"/>
  <c r="B13" i="46" s="1"/>
  <c r="A403" i="2"/>
  <c r="A399" i="2"/>
  <c r="A245" i="2"/>
  <c r="D55" i="39" s="1"/>
  <c r="A265" i="2"/>
  <c r="D75" i="39" s="1"/>
  <c r="A206" i="2"/>
  <c r="D16" i="39" s="1"/>
  <c r="A225" i="2"/>
  <c r="D35" i="39" s="1"/>
  <c r="A266" i="2"/>
  <c r="D76" i="39"/>
  <c r="A145" i="2"/>
  <c r="D12" i="38" s="1"/>
  <c r="A143" i="2"/>
  <c r="H3" i="39" s="1"/>
  <c r="A166" i="2"/>
  <c r="A140" i="2"/>
  <c r="N3" i="38" s="1"/>
  <c r="A429" i="2"/>
  <c r="C3" i="77" s="1"/>
  <c r="A435" i="2"/>
  <c r="A71" i="2"/>
  <c r="B1" i="83" s="1"/>
  <c r="A484" i="2"/>
  <c r="A487" i="2"/>
  <c r="A483" i="2"/>
  <c r="A490" i="2"/>
  <c r="A519" i="2"/>
  <c r="A76" i="2"/>
  <c r="B1" i="13" s="1"/>
  <c r="D367" i="67"/>
  <c r="D331" i="68"/>
  <c r="D763" i="68"/>
  <c r="D679" i="68"/>
  <c r="A373" i="2"/>
  <c r="A371" i="2"/>
  <c r="A589" i="2"/>
  <c r="D5" i="75" s="1"/>
  <c r="A404" i="2"/>
  <c r="A402" i="2"/>
  <c r="A256" i="2"/>
  <c r="D66" i="39" s="1"/>
  <c r="A216" i="2"/>
  <c r="D26" i="39" s="1"/>
  <c r="A262" i="2"/>
  <c r="D72" i="39" s="1"/>
  <c r="A259" i="2"/>
  <c r="A186" i="2"/>
  <c r="D53" i="38" s="1"/>
  <c r="A191" i="2"/>
  <c r="S3" i="38" s="1"/>
  <c r="A154" i="2"/>
  <c r="D21" i="38" s="1"/>
  <c r="A149" i="2"/>
  <c r="D16" i="38" s="1"/>
  <c r="A434" i="2"/>
  <c r="A423" i="2"/>
  <c r="C6" i="77" s="1"/>
  <c r="A73" i="2"/>
  <c r="E4" i="83" s="1"/>
  <c r="A442" i="2"/>
  <c r="A458" i="2"/>
  <c r="A496" i="2"/>
  <c r="A499" i="2"/>
  <c r="A474" i="2"/>
  <c r="A502" i="2"/>
  <c r="A522" i="2"/>
  <c r="D343" i="68"/>
  <c r="A374" i="2"/>
  <c r="A378" i="2"/>
  <c r="A395" i="2"/>
  <c r="C3" i="76" s="1"/>
  <c r="A267" i="2"/>
  <c r="D77" i="39" s="1"/>
  <c r="A241" i="2"/>
  <c r="D51" i="39" s="1"/>
  <c r="A204" i="2"/>
  <c r="D14" i="39" s="1"/>
  <c r="A250" i="2"/>
  <c r="D60" i="39"/>
  <c r="A247" i="2"/>
  <c r="D57" i="39" s="1"/>
  <c r="A173" i="2"/>
  <c r="D40" i="38" s="1"/>
  <c r="A179" i="2"/>
  <c r="A141" i="2"/>
  <c r="L3" i="39" s="1"/>
  <c r="A159" i="2"/>
  <c r="D26" i="38" s="1"/>
  <c r="A199" i="2"/>
  <c r="A428" i="2"/>
  <c r="A21" i="2"/>
  <c r="A72" i="2"/>
  <c r="C4" i="83" s="1"/>
  <c r="A459" i="2"/>
  <c r="A473" i="2"/>
  <c r="A511" i="2"/>
  <c r="A523" i="2"/>
  <c r="A537" i="2"/>
  <c r="A386" i="2"/>
  <c r="F4" i="71" s="1"/>
  <c r="A390" i="2"/>
  <c r="A58" i="2"/>
  <c r="B1" i="54" s="1"/>
  <c r="A405" i="2"/>
  <c r="A255" i="2"/>
  <c r="D65" i="39"/>
  <c r="A229" i="2"/>
  <c r="D39" i="39" s="1"/>
  <c r="A221" i="2"/>
  <c r="A238" i="2"/>
  <c r="A209" i="2"/>
  <c r="D19" i="39" s="1"/>
  <c r="A235" i="2"/>
  <c r="D45" i="39" s="1"/>
  <c r="A147" i="2"/>
  <c r="D14" i="38" s="1"/>
  <c r="A167" i="2"/>
  <c r="D34" i="38" s="1"/>
  <c r="A181" i="2"/>
  <c r="D48" i="38" s="1"/>
  <c r="A187" i="2"/>
  <c r="D54" i="38" s="1"/>
  <c r="A427" i="2"/>
  <c r="E23" i="77" s="1"/>
  <c r="A74" i="2"/>
  <c r="D4" i="83" s="1"/>
  <c r="A455" i="2"/>
  <c r="A460" i="2"/>
  <c r="A485" i="2"/>
  <c r="A469" i="2"/>
  <c r="A477" i="2"/>
  <c r="A521" i="2"/>
  <c r="A538" i="2"/>
  <c r="D19" i="67"/>
  <c r="D475" i="67"/>
  <c r="A383" i="2"/>
  <c r="A381" i="2"/>
  <c r="A59" i="2"/>
  <c r="C4" i="54" s="1"/>
  <c r="A417" i="2"/>
  <c r="A419" i="2"/>
  <c r="A217" i="2"/>
  <c r="A220" i="2"/>
  <c r="D30" i="39" s="1"/>
  <c r="A223" i="2"/>
  <c r="D33" i="39" s="1"/>
  <c r="A169" i="2"/>
  <c r="D36" i="38" s="1"/>
  <c r="A155" i="2"/>
  <c r="D22" i="38" s="1"/>
  <c r="A161" i="2"/>
  <c r="D28" i="38" s="1"/>
  <c r="A200" i="2"/>
  <c r="B1" i="39" s="1"/>
  <c r="A175" i="2"/>
  <c r="D42" i="38" s="1"/>
  <c r="A438" i="2"/>
  <c r="D27" i="13" s="1"/>
  <c r="A37" i="2"/>
  <c r="F4" i="80" s="1"/>
  <c r="A75" i="2"/>
  <c r="F4" i="83" s="1"/>
  <c r="A441" i="2"/>
  <c r="C5" i="84" s="1"/>
  <c r="A461" i="2"/>
  <c r="A497" i="2"/>
  <c r="A482" i="2"/>
  <c r="A489" i="2"/>
  <c r="A471" i="2"/>
  <c r="A517" i="2"/>
  <c r="D451" i="67"/>
  <c r="D79" i="67"/>
  <c r="D235" i="67"/>
  <c r="D319" i="68"/>
  <c r="D451" i="68"/>
  <c r="A286" i="2"/>
  <c r="F8" i="23" s="1"/>
  <c r="A385" i="2"/>
  <c r="C4" i="71" s="1"/>
  <c r="A372" i="2"/>
  <c r="A60" i="2"/>
  <c r="E4" i="54" s="1"/>
  <c r="A409" i="2"/>
  <c r="A398" i="2"/>
  <c r="A231" i="2"/>
  <c r="D41" i="39" s="1"/>
  <c r="A205" i="2"/>
  <c r="D15" i="39" s="1"/>
  <c r="A263" i="2"/>
  <c r="D73" i="39" s="1"/>
  <c r="A214" i="2"/>
  <c r="D24" i="39" s="1"/>
  <c r="A218" i="2"/>
  <c r="D28" i="39" s="1"/>
  <c r="A211" i="2"/>
  <c r="D21" i="39" s="1"/>
  <c r="A157" i="2"/>
  <c r="A142" i="2"/>
  <c r="J3" i="39" s="1"/>
  <c r="A183" i="2"/>
  <c r="A163" i="2"/>
  <c r="D30" i="38"/>
  <c r="A426" i="2"/>
  <c r="E6" i="77" s="1"/>
  <c r="A70" i="2"/>
  <c r="D4" i="81" s="1"/>
  <c r="A444" i="2"/>
  <c r="D4" i="84" s="1"/>
  <c r="A462" i="2"/>
  <c r="A509" i="2"/>
  <c r="A498" i="2"/>
  <c r="A501" i="2"/>
  <c r="A472" i="2"/>
  <c r="A518" i="2"/>
  <c r="D163" i="67"/>
  <c r="D79" i="68"/>
  <c r="D511" i="68"/>
  <c r="D943" i="68"/>
  <c r="D55" i="68"/>
  <c r="D487" i="68"/>
  <c r="E443" i="67"/>
  <c r="E731" i="68"/>
  <c r="A539" i="2"/>
  <c r="E479" i="67"/>
  <c r="A540" i="2"/>
  <c r="E59" i="67"/>
  <c r="E359" i="68"/>
  <c r="E95" i="67"/>
  <c r="E395" i="68"/>
  <c r="E203" i="68"/>
  <c r="A530" i="2"/>
  <c r="B1" i="87" s="1"/>
  <c r="E131" i="67"/>
  <c r="E431" i="68"/>
  <c r="E239" i="68"/>
  <c r="A544" i="2"/>
  <c r="E35" i="67"/>
  <c r="E791" i="68"/>
  <c r="E599" i="68"/>
  <c r="A83" i="2"/>
  <c r="G16" i="13" s="1"/>
  <c r="E71" i="67"/>
  <c r="E827" i="68"/>
  <c r="E635" i="68"/>
  <c r="A565" i="2"/>
  <c r="E107" i="67"/>
  <c r="E671" i="68"/>
  <c r="A535" i="2"/>
  <c r="F4" i="87" s="1"/>
  <c r="A553" i="2"/>
  <c r="A534" i="2"/>
  <c r="E4" i="87"/>
  <c r="E11" i="67"/>
  <c r="E299" i="68"/>
  <c r="A536" i="2"/>
  <c r="E47" i="67"/>
  <c r="E335" i="68"/>
  <c r="E167" i="67"/>
  <c r="E143" i="67"/>
  <c r="E83" i="67"/>
  <c r="E35" i="68"/>
  <c r="E467" i="68"/>
  <c r="E899" i="68"/>
  <c r="E371" i="68"/>
  <c r="E803" i="68"/>
  <c r="E275" i="68"/>
  <c r="E707" i="68"/>
  <c r="A573" i="2"/>
  <c r="E179" i="67"/>
  <c r="E119" i="67"/>
  <c r="E71" i="68"/>
  <c r="E407" i="68"/>
  <c r="E839" i="68"/>
  <c r="E311" i="68"/>
  <c r="E743" i="68"/>
  <c r="A561" i="2"/>
  <c r="E239" i="67"/>
  <c r="E215" i="67"/>
  <c r="E155" i="67"/>
  <c r="E107" i="68"/>
  <c r="E539" i="68"/>
  <c r="E11" i="68"/>
  <c r="E443" i="68"/>
  <c r="E875" i="68"/>
  <c r="E347" i="68"/>
  <c r="E779" i="68"/>
  <c r="A559" i="2"/>
  <c r="E275" i="67"/>
  <c r="E251" i="67"/>
  <c r="E143" i="68"/>
  <c r="E575" i="68"/>
  <c r="E47" i="68"/>
  <c r="E383" i="68"/>
  <c r="E815" i="68"/>
  <c r="A547" i="2"/>
  <c r="E311" i="67"/>
  <c r="E287" i="67"/>
  <c r="E227" i="67"/>
  <c r="E179" i="68"/>
  <c r="E611" i="68"/>
  <c r="E83" i="68"/>
  <c r="E515" i="68"/>
  <c r="E947" i="68"/>
  <c r="E419" i="68"/>
  <c r="E851" i="68"/>
  <c r="A542" i="2"/>
  <c r="A28" i="2"/>
  <c r="E347" i="67"/>
  <c r="E323" i="67"/>
  <c r="E215" i="68"/>
  <c r="E647" i="68"/>
  <c r="E119" i="68"/>
  <c r="E455" i="68"/>
  <c r="E887" i="68"/>
  <c r="A27" i="2"/>
  <c r="E383" i="67"/>
  <c r="E359" i="67"/>
  <c r="E299" i="67"/>
  <c r="E251" i="68"/>
  <c r="E683" i="68"/>
  <c r="E155" i="68"/>
  <c r="E587" i="68"/>
  <c r="E59" i="68"/>
  <c r="E491" i="68"/>
  <c r="E923" i="68"/>
  <c r="A543" i="2"/>
  <c r="H4" i="87"/>
  <c r="E419" i="67"/>
  <c r="E395" i="67"/>
  <c r="E335" i="67"/>
  <c r="E719" i="68"/>
  <c r="E191" i="68"/>
  <c r="E623" i="68"/>
  <c r="E959" i="68"/>
  <c r="A531" i="2"/>
  <c r="C4" i="87" s="1"/>
  <c r="B4" i="52"/>
  <c r="E23" i="67"/>
  <c r="E455" i="67"/>
  <c r="E431" i="67"/>
  <c r="E371" i="67"/>
  <c r="E323" i="68"/>
  <c r="E755" i="68"/>
  <c r="E227" i="68"/>
  <c r="E659" i="68"/>
  <c r="E131" i="68"/>
  <c r="A545" i="2"/>
  <c r="B1" i="88"/>
  <c r="A568" i="2"/>
  <c r="A549" i="2"/>
  <c r="A527" i="2"/>
  <c r="A26" i="2"/>
  <c r="A576" i="2"/>
  <c r="A569" i="2"/>
  <c r="A526" i="2"/>
  <c r="A25" i="2"/>
  <c r="A564" i="2"/>
  <c r="A556" i="2"/>
  <c r="A525" i="2"/>
  <c r="A32" i="2"/>
  <c r="A532" i="2"/>
  <c r="D4" i="87" s="1"/>
  <c r="A552" i="2"/>
  <c r="A563" i="2"/>
  <c r="A90" i="2"/>
  <c r="A31" i="2"/>
  <c r="A555" i="2"/>
  <c r="A575" i="2"/>
  <c r="A572" i="2"/>
  <c r="A529" i="2"/>
  <c r="A30" i="2"/>
  <c r="A570" i="2"/>
  <c r="A551" i="2"/>
  <c r="A560" i="2"/>
  <c r="A528" i="2"/>
  <c r="A51" i="2"/>
  <c r="A557" i="2"/>
  <c r="A548" i="2"/>
  <c r="A520" i="2"/>
  <c r="A578" i="2"/>
  <c r="A574" i="2"/>
  <c r="A558" i="2"/>
  <c r="A24" i="2"/>
  <c r="B1" i="89" s="1"/>
  <c r="A566" i="2"/>
  <c r="A562" i="2"/>
  <c r="A577" i="2"/>
  <c r="A33" i="2"/>
  <c r="A554" i="2"/>
  <c r="A550" i="2"/>
  <c r="A571" i="2"/>
  <c r="A29" i="2"/>
  <c r="I5" i="65"/>
  <c r="T5" i="65" s="1"/>
  <c r="B4" i="83"/>
  <c r="B4" i="81"/>
  <c r="B6" i="1"/>
  <c r="B4" i="54"/>
  <c r="C85" i="13"/>
  <c r="C10" i="13"/>
  <c r="B2" i="52"/>
  <c r="D249" i="67"/>
  <c r="D441" i="68"/>
  <c r="D153" i="67"/>
  <c r="D141" i="68"/>
  <c r="D909" i="68"/>
  <c r="D321" i="67"/>
  <c r="D81" i="68"/>
  <c r="D849" i="68"/>
  <c r="D213" i="68"/>
  <c r="D21" i="68"/>
  <c r="D393" i="67"/>
  <c r="D153" i="68"/>
  <c r="D921" i="68"/>
  <c r="D369" i="67"/>
  <c r="D621" i="68"/>
  <c r="D57" i="67"/>
  <c r="D321" i="68"/>
  <c r="D129" i="68"/>
  <c r="D9" i="67"/>
  <c r="D261" i="68"/>
  <c r="D393" i="68"/>
  <c r="D201" i="68"/>
  <c r="D81" i="67"/>
  <c r="D201" i="67"/>
  <c r="D333" i="68"/>
  <c r="D165" i="67"/>
  <c r="D825" i="68"/>
  <c r="D597" i="68"/>
  <c r="D357" i="68"/>
  <c r="D561" i="68"/>
  <c r="D405" i="67"/>
  <c r="D525" i="68"/>
  <c r="D285" i="68"/>
  <c r="D489" i="68"/>
  <c r="D249" i="68"/>
  <c r="D453" i="68"/>
  <c r="D297" i="67"/>
  <c r="D945" i="68"/>
  <c r="D261" i="67"/>
  <c r="D477" i="68"/>
  <c r="D285" i="67"/>
  <c r="D309" i="68"/>
  <c r="D189" i="67"/>
  <c r="H4" i="52"/>
  <c r="D427" i="67"/>
  <c r="D571" i="68"/>
  <c r="A533" i="2"/>
  <c r="A350" i="2"/>
  <c r="G5" i="65" s="1"/>
  <c r="R5" i="65" s="1"/>
  <c r="A344" i="2"/>
  <c r="A367" i="2"/>
  <c r="C1" i="67" s="1"/>
  <c r="A360" i="2"/>
  <c r="M5" i="66" s="1"/>
  <c r="A342" i="2"/>
  <c r="C1" i="65" s="1"/>
  <c r="A63" i="2"/>
  <c r="D4" i="54" s="1"/>
  <c r="A339" i="2"/>
  <c r="B1" i="53" s="1"/>
  <c r="A334" i="2"/>
  <c r="F4" i="52" s="1"/>
  <c r="A586" i="2"/>
  <c r="B1" i="59" s="1"/>
  <c r="A332" i="2"/>
  <c r="E4" i="52" s="1"/>
  <c r="A315" i="2"/>
  <c r="A326" i="2"/>
  <c r="A325" i="2"/>
  <c r="A324" i="2"/>
  <c r="A322" i="2"/>
  <c r="A582" i="2"/>
  <c r="B1" i="45" s="1"/>
  <c r="A302" i="2"/>
  <c r="B1" i="46" s="1"/>
  <c r="A300" i="2"/>
  <c r="C6" i="1" s="1"/>
  <c r="A5" i="2"/>
  <c r="B1" i="69" s="1"/>
  <c r="A114" i="2"/>
  <c r="E3" i="37"/>
  <c r="A8" i="2"/>
  <c r="A9" i="2"/>
  <c r="A82" i="2"/>
  <c r="F16" i="13" s="1"/>
  <c r="A14" i="2"/>
  <c r="A91" i="2"/>
  <c r="B1" i="34" s="1"/>
  <c r="A20" i="2"/>
  <c r="A101" i="2"/>
  <c r="C4" i="34" s="1"/>
  <c r="A103" i="2"/>
  <c r="E4" i="34"/>
  <c r="A92" i="2"/>
  <c r="A34" i="2"/>
  <c r="B1" i="80" s="1"/>
  <c r="A93" i="2"/>
  <c r="A290" i="2"/>
  <c r="B1" i="24" s="1"/>
  <c r="A13" i="2"/>
  <c r="A87" i="2"/>
  <c r="C57" i="13" s="1"/>
  <c r="A127" i="2"/>
  <c r="E4" i="19" s="1"/>
  <c r="A276" i="2"/>
  <c r="B21" i="23" s="1"/>
  <c r="A15" i="2"/>
  <c r="A120" i="2"/>
  <c r="A109" i="2"/>
  <c r="B1" i="37" s="1"/>
  <c r="A581" i="2"/>
  <c r="D5" i="41" s="1"/>
  <c r="A268" i="2"/>
  <c r="A277" i="2"/>
  <c r="B35" i="23" s="1"/>
  <c r="A274" i="2"/>
  <c r="B1" i="23" s="1"/>
  <c r="A49" i="2"/>
  <c r="A270" i="2"/>
  <c r="A79" i="2"/>
  <c r="C16" i="13" s="1"/>
  <c r="A18" i="2"/>
  <c r="A99" i="2"/>
  <c r="A271" i="2"/>
  <c r="A81" i="2"/>
  <c r="E16" i="13"/>
  <c r="E58" i="13" s="1"/>
  <c r="A130" i="2"/>
  <c r="C4" i="19" s="1"/>
  <c r="B72" i="13"/>
  <c r="B86" i="13"/>
  <c r="B44" i="13"/>
  <c r="I4" i="52"/>
  <c r="D2" i="53"/>
  <c r="I4" i="53"/>
  <c r="G4" i="83"/>
  <c r="G4" i="54"/>
  <c r="C58" i="13" l="1"/>
  <c r="C86" i="13"/>
  <c r="C44" i="13"/>
  <c r="D333" i="67"/>
  <c r="C43" i="13"/>
  <c r="D705" i="68"/>
  <c r="D477" i="67"/>
  <c r="D45" i="68"/>
  <c r="D45" i="67"/>
  <c r="D237" i="67"/>
  <c r="D657" i="68"/>
  <c r="D741" i="68"/>
  <c r="D225" i="68"/>
  <c r="D69" i="68"/>
  <c r="C29" i="13"/>
  <c r="D465" i="67"/>
  <c r="E695" i="68"/>
  <c r="N3" i="39"/>
  <c r="D33" i="67"/>
  <c r="J3" i="38"/>
  <c r="D7" i="68"/>
  <c r="D307" i="68"/>
  <c r="C72" i="13"/>
  <c r="E72" i="13"/>
  <c r="A492" i="2"/>
  <c r="A407" i="2"/>
  <c r="A201" i="2"/>
  <c r="D11" i="39" s="1"/>
  <c r="A192" i="2"/>
  <c r="A228" i="2"/>
  <c r="D38" i="39" s="1"/>
  <c r="A424" i="2"/>
  <c r="B23" i="77" s="1"/>
  <c r="D715" i="68"/>
  <c r="A249" i="2"/>
  <c r="D59" i="39" s="1"/>
  <c r="A152" i="2"/>
  <c r="D19" i="38" s="1"/>
  <c r="A391" i="2"/>
  <c r="I4" i="71" s="1"/>
  <c r="A480" i="2"/>
  <c r="A260" i="2"/>
  <c r="D70" i="39" s="1"/>
  <c r="D801" i="68"/>
  <c r="D93" i="68"/>
  <c r="D105" i="68"/>
  <c r="A129" i="2"/>
  <c r="A12" i="2"/>
  <c r="A113" i="2"/>
  <c r="I3" i="37" s="1"/>
  <c r="A327" i="2"/>
  <c r="A365" i="2"/>
  <c r="D743" i="68" s="1"/>
  <c r="D873" i="68"/>
  <c r="D379" i="67"/>
  <c r="D117" i="67"/>
  <c r="D885" i="68"/>
  <c r="D213" i="67"/>
  <c r="B58" i="13"/>
  <c r="D919" i="68"/>
  <c r="D465" i="68"/>
  <c r="D777" i="68"/>
  <c r="E527" i="68"/>
  <c r="E23" i="68"/>
  <c r="E911" i="68"/>
  <c r="E935" i="68"/>
  <c r="E263" i="68"/>
  <c r="A541" i="2"/>
  <c r="D19" i="68"/>
  <c r="A208" i="2"/>
  <c r="A393" i="2"/>
  <c r="A514" i="2"/>
  <c r="A416" i="2"/>
  <c r="A213" i="2"/>
  <c r="D23" i="39" s="1"/>
  <c r="A446" i="2"/>
  <c r="B5" i="84" s="1"/>
  <c r="A389" i="2"/>
  <c r="H4" i="71" s="1"/>
  <c r="A158" i="2"/>
  <c r="D25" i="38" s="1"/>
  <c r="A466" i="2"/>
  <c r="B4" i="86" s="1"/>
  <c r="A77" i="2"/>
  <c r="A457" i="2"/>
  <c r="A193" i="2"/>
  <c r="D429" i="68"/>
  <c r="D645" i="68"/>
  <c r="A98" i="2"/>
  <c r="A295" i="2"/>
  <c r="C25" i="24" s="1"/>
  <c r="A22" i="2"/>
  <c r="A303" i="2"/>
  <c r="B3" i="46" s="1"/>
  <c r="A340" i="2"/>
  <c r="C4" i="53" s="1"/>
  <c r="A355" i="2"/>
  <c r="D273" i="68"/>
  <c r="D345" i="68"/>
  <c r="E95" i="68"/>
  <c r="E551" i="68"/>
  <c r="E479" i="68"/>
  <c r="E503" i="68"/>
  <c r="E467" i="67"/>
  <c r="E167" i="68"/>
  <c r="A36" i="2"/>
  <c r="E4" i="80" s="1"/>
  <c r="D43" i="68"/>
  <c r="A226" i="2"/>
  <c r="D36" i="39" s="1"/>
  <c r="A465" i="2"/>
  <c r="C2" i="86" s="1"/>
  <c r="A588" i="2"/>
  <c r="B1" i="75" s="1"/>
  <c r="A453" i="2"/>
  <c r="D5" i="84" s="1"/>
  <c r="A382" i="2"/>
  <c r="A512" i="2"/>
  <c r="A380" i="2"/>
  <c r="A227" i="2"/>
  <c r="D37" i="39" s="1"/>
  <c r="A168" i="2"/>
  <c r="D35" i="38" s="1"/>
  <c r="A456" i="2"/>
  <c r="H5" i="84" s="1"/>
  <c r="A197" i="2"/>
  <c r="A215" i="2"/>
  <c r="D25" i="39" s="1"/>
  <c r="D297" i="68"/>
  <c r="D357" i="67"/>
  <c r="A272" i="2"/>
  <c r="A17" i="2"/>
  <c r="A131" i="2"/>
  <c r="D4" i="19" s="1"/>
  <c r="A305" i="2"/>
  <c r="D3" i="46" s="1"/>
  <c r="A585" i="2"/>
  <c r="D5" i="50" s="1"/>
  <c r="A358" i="2"/>
  <c r="U6" i="38"/>
  <c r="D273" i="67"/>
  <c r="D129" i="67"/>
  <c r="A567" i="2"/>
  <c r="A546" i="2"/>
  <c r="E287" i="68"/>
  <c r="E263" i="67"/>
  <c r="E191" i="67"/>
  <c r="E203" i="67"/>
  <c r="E863" i="68"/>
  <c r="E767" i="68"/>
  <c r="A188" i="2"/>
  <c r="D283" i="67"/>
  <c r="A243" i="2"/>
  <c r="D53" i="39" s="1"/>
  <c r="A174" i="2"/>
  <c r="A443" i="2"/>
  <c r="A57" i="2"/>
  <c r="A253" i="2"/>
  <c r="A171" i="2"/>
  <c r="D38" i="38" s="1"/>
  <c r="D295" i="68"/>
  <c r="A233" i="2"/>
  <c r="D43" i="39" s="1"/>
  <c r="A440" i="2"/>
  <c r="A524" i="2"/>
  <c r="B7" i="86" s="1"/>
  <c r="A394" i="2"/>
  <c r="C1" i="76" s="1"/>
  <c r="A198" i="2"/>
  <c r="A448" i="2"/>
  <c r="F5" i="84" s="1"/>
  <c r="A408" i="2"/>
  <c r="D165" i="68"/>
  <c r="D609" i="68"/>
  <c r="A112" i="2"/>
  <c r="D3" i="37" s="1"/>
  <c r="A275" i="2"/>
  <c r="B7" i="23" s="1"/>
  <c r="A106" i="2"/>
  <c r="H4" i="34" s="1"/>
  <c r="A39" i="2"/>
  <c r="D4" i="80" s="1"/>
  <c r="A133" i="2"/>
  <c r="F4" i="19" s="1"/>
  <c r="A316" i="2"/>
  <c r="A301" i="2"/>
  <c r="A356" i="2"/>
  <c r="E44" i="13"/>
  <c r="D789" i="68"/>
  <c r="D345" i="67"/>
  <c r="D72" i="13"/>
  <c r="D44" i="13"/>
  <c r="D58" i="13"/>
  <c r="D30" i="13"/>
  <c r="D86" i="13"/>
  <c r="D83" i="13"/>
  <c r="D41" i="13"/>
  <c r="F33" i="46"/>
  <c r="F31" i="46"/>
  <c r="F21" i="46"/>
  <c r="F15" i="46"/>
  <c r="F9" i="46"/>
  <c r="F23" i="46"/>
  <c r="F35" i="46"/>
  <c r="F13" i="46"/>
  <c r="F25" i="46"/>
  <c r="F19" i="46"/>
  <c r="F11" i="46"/>
  <c r="F17" i="46"/>
  <c r="F7" i="46"/>
  <c r="F29" i="46"/>
  <c r="H86" i="13"/>
  <c r="H58" i="13"/>
  <c r="H72" i="13"/>
  <c r="I74" i="13" s="1"/>
  <c r="H44" i="13"/>
  <c r="H30" i="13"/>
  <c r="I16" i="13"/>
  <c r="D811" i="68"/>
  <c r="D403" i="67"/>
  <c r="D127" i="68"/>
  <c r="H3" i="38"/>
  <c r="D59" i="68"/>
  <c r="D479" i="67"/>
  <c r="P3" i="38"/>
  <c r="D563" i="68"/>
  <c r="D35" i="67"/>
  <c r="D887" i="68"/>
  <c r="D215" i="68"/>
  <c r="D443" i="67"/>
  <c r="D883" i="68"/>
  <c r="D439" i="68"/>
  <c r="D223" i="68"/>
  <c r="D319" i="67"/>
  <c r="D355" i="67"/>
  <c r="F16" i="24"/>
  <c r="D187" i="68"/>
  <c r="D815" i="68"/>
  <c r="D907" i="68"/>
  <c r="D43" i="67"/>
  <c r="D703" i="68"/>
  <c r="D667" i="68"/>
  <c r="D463" i="67"/>
  <c r="D223" i="67"/>
  <c r="D475" i="68"/>
  <c r="D247" i="67"/>
  <c r="D739" i="68"/>
  <c r="D271" i="68"/>
  <c r="D235" i="68"/>
  <c r="D31" i="67"/>
  <c r="C9" i="13"/>
  <c r="B5" i="65"/>
  <c r="D343" i="67"/>
  <c r="D775" i="68"/>
  <c r="D31" i="68"/>
  <c r="D331" i="67"/>
  <c r="D295" i="67"/>
  <c r="D271" i="67"/>
  <c r="D499" i="68"/>
  <c r="D103" i="68"/>
  <c r="D307" i="67"/>
  <c r="D103" i="67"/>
  <c r="D67" i="67"/>
  <c r="D799" i="68"/>
  <c r="D139" i="67"/>
  <c r="D595" i="68"/>
  <c r="D635" i="68"/>
  <c r="D203" i="68"/>
  <c r="D275" i="67"/>
  <c r="D415" i="67"/>
  <c r="D367" i="68"/>
  <c r="D211" i="68"/>
  <c r="D443" i="68"/>
  <c r="D163" i="68"/>
  <c r="D379" i="68"/>
  <c r="D535" i="68"/>
  <c r="D523" i="68"/>
  <c r="D175" i="67"/>
  <c r="D583" i="68"/>
  <c r="D91" i="68"/>
  <c r="D237" i="68"/>
  <c r="D189" i="68"/>
  <c r="D573" i="68"/>
  <c r="D83" i="67"/>
  <c r="D167" i="67"/>
  <c r="D947" i="68"/>
  <c r="D203" i="67"/>
  <c r="D835" i="68"/>
  <c r="D151" i="68"/>
  <c r="D283" i="68"/>
  <c r="D765" i="68"/>
  <c r="D717" i="68"/>
  <c r="D225" i="67"/>
  <c r="D23" i="67"/>
  <c r="D755" i="68"/>
  <c r="E4" i="53"/>
  <c r="H4" i="80"/>
  <c r="D191" i="68"/>
  <c r="D959" i="68"/>
  <c r="D527" i="68"/>
  <c r="D227" i="68"/>
  <c r="D403" i="68"/>
  <c r="D139" i="68"/>
  <c r="D175" i="68"/>
  <c r="D547" i="68"/>
  <c r="D861" i="68"/>
  <c r="D429" i="67"/>
  <c r="D309" i="67"/>
  <c r="D559" i="68"/>
  <c r="D599" i="68"/>
  <c r="D91" i="67"/>
  <c r="D659" i="68"/>
  <c r="D791" i="68"/>
  <c r="D427" i="68"/>
  <c r="E86" i="13"/>
  <c r="D107" i="67"/>
  <c r="D719" i="68"/>
  <c r="D287" i="68"/>
  <c r="D143" i="67"/>
  <c r="D847" i="68"/>
  <c r="D787" i="68"/>
  <c r="D631" i="68"/>
  <c r="D187" i="67"/>
  <c r="D115" i="68"/>
  <c r="D453" i="67"/>
  <c r="D859" i="68"/>
  <c r="D131" i="67"/>
  <c r="D155" i="68"/>
  <c r="D623" i="68"/>
  <c r="D415" i="68"/>
  <c r="D439" i="67"/>
  <c r="D199" i="68"/>
  <c r="D391" i="67"/>
  <c r="D931" i="68"/>
  <c r="D141" i="67"/>
  <c r="D21" i="67"/>
  <c r="D405" i="68"/>
  <c r="D251" i="68"/>
  <c r="D607" i="68"/>
  <c r="D7" i="67"/>
  <c r="D355" i="68"/>
  <c r="D55" i="67"/>
  <c r="D199" i="67"/>
  <c r="D767" i="68"/>
  <c r="D633" i="68"/>
  <c r="D57" i="68"/>
  <c r="D619" i="68"/>
  <c r="D391" i="68"/>
  <c r="D955" i="68"/>
  <c r="D71" i="67"/>
  <c r="D95" i="68"/>
  <c r="D119" i="68"/>
  <c r="D11" i="67"/>
  <c r="D455" i="68"/>
  <c r="D871" i="68"/>
  <c r="D211" i="67"/>
  <c r="D655" i="68"/>
  <c r="D115" i="67"/>
  <c r="D729" i="68"/>
  <c r="D585" i="68"/>
  <c r="G78" i="23"/>
  <c r="G50" i="23"/>
  <c r="G36" i="23"/>
  <c r="G22" i="23"/>
  <c r="G64" i="23"/>
  <c r="I16" i="24"/>
  <c r="M16" i="24"/>
  <c r="G16" i="24"/>
  <c r="O16" i="24"/>
  <c r="K16" i="24"/>
  <c r="E29" i="81"/>
  <c r="F58" i="13"/>
  <c r="F72" i="13"/>
  <c r="F44" i="13"/>
  <c r="F30" i="13"/>
  <c r="F86" i="13"/>
  <c r="G58" i="13"/>
  <c r="G86" i="13"/>
  <c r="G44" i="13"/>
  <c r="G72" i="13"/>
  <c r="G30" i="13"/>
  <c r="B78" i="23"/>
  <c r="B36" i="23"/>
  <c r="B64" i="23"/>
  <c r="B50" i="23"/>
  <c r="B22" i="23"/>
  <c r="E22" i="23"/>
  <c r="E64" i="23"/>
  <c r="E78" i="23"/>
  <c r="E36" i="23"/>
  <c r="E50" i="23"/>
  <c r="C36" i="23"/>
  <c r="C22" i="23"/>
  <c r="C78" i="23"/>
  <c r="C50" i="23"/>
  <c r="C64" i="23"/>
  <c r="E30" i="54"/>
  <c r="I78" i="23"/>
  <c r="I22" i="23"/>
  <c r="I36" i="23"/>
  <c r="I50" i="23"/>
  <c r="I64" i="23"/>
  <c r="F78" i="23"/>
  <c r="F50" i="23"/>
  <c r="F64" i="23"/>
  <c r="F22" i="23"/>
  <c r="F36" i="23"/>
  <c r="E16" i="1"/>
  <c r="C44" i="52"/>
  <c r="C39" i="53"/>
  <c r="S3" i="39"/>
  <c r="F17" i="1"/>
  <c r="P25" i="24"/>
  <c r="C41" i="52"/>
  <c r="C35" i="53"/>
  <c r="C29" i="53"/>
  <c r="B4" i="87"/>
  <c r="F18" i="1"/>
  <c r="C38" i="52"/>
  <c r="C31" i="53"/>
  <c r="B45" i="53"/>
  <c r="B32" i="81"/>
  <c r="E18" i="1"/>
  <c r="C35" i="52"/>
  <c r="C33" i="54"/>
  <c r="B33" i="53"/>
  <c r="C34" i="81"/>
  <c r="E17" i="1"/>
  <c r="C32" i="52"/>
  <c r="E7" i="1"/>
  <c r="F19" i="1"/>
  <c r="F27" i="46"/>
  <c r="E6" i="24"/>
  <c r="B39" i="53"/>
  <c r="F8" i="1"/>
  <c r="E19" i="1"/>
  <c r="D5" i="66"/>
  <c r="F4" i="53"/>
  <c r="E11" i="1"/>
  <c r="E20" i="1"/>
  <c r="B41" i="52"/>
  <c r="B31" i="53"/>
  <c r="E10" i="1"/>
  <c r="F21" i="1"/>
  <c r="B38" i="52"/>
  <c r="C46" i="53"/>
  <c r="B31" i="81"/>
  <c r="D97" i="13"/>
  <c r="E30" i="13"/>
  <c r="D55" i="13"/>
  <c r="F12" i="1"/>
  <c r="E21" i="1"/>
  <c r="B35" i="52"/>
  <c r="C42" i="53"/>
  <c r="C32" i="54"/>
  <c r="D69" i="13"/>
  <c r="E12" i="1"/>
  <c r="F20" i="1"/>
  <c r="C42" i="52"/>
  <c r="B32" i="52"/>
  <c r="B30" i="54"/>
  <c r="B32" i="83"/>
  <c r="I86" i="13"/>
  <c r="C8" i="13"/>
  <c r="F7" i="1"/>
  <c r="F22" i="1"/>
  <c r="C39" i="52"/>
  <c r="B29" i="52"/>
  <c r="C34" i="53"/>
  <c r="C33" i="81"/>
  <c r="F15" i="1"/>
  <c r="F11" i="1"/>
  <c r="E22" i="1"/>
  <c r="B32" i="54"/>
  <c r="C31" i="83"/>
  <c r="E9" i="1"/>
  <c r="F23" i="1"/>
  <c r="B31" i="52"/>
  <c r="C44" i="53"/>
  <c r="B37" i="53"/>
  <c r="C35" i="54"/>
  <c r="F10" i="1"/>
  <c r="E23" i="1"/>
  <c r="C30" i="52"/>
  <c r="C46" i="52"/>
  <c r="C40" i="53"/>
  <c r="B46" i="53"/>
  <c r="C29" i="54"/>
  <c r="E29" i="54" s="1"/>
  <c r="L7" i="65"/>
  <c r="G7" i="66" s="1"/>
  <c r="B29" i="81"/>
  <c r="B31" i="83"/>
  <c r="E8" i="1"/>
  <c r="F24" i="1"/>
  <c r="B45" i="52"/>
  <c r="C40" i="52"/>
  <c r="C36" i="53"/>
  <c r="B15" i="24"/>
  <c r="F13" i="1"/>
  <c r="E24" i="1"/>
  <c r="B42" i="52"/>
  <c r="C37" i="52"/>
  <c r="C45" i="52"/>
  <c r="C32" i="53"/>
  <c r="B38" i="53"/>
  <c r="C31" i="54"/>
  <c r="C30" i="83"/>
  <c r="C30" i="13"/>
  <c r="B4" i="80"/>
  <c r="F9" i="1"/>
  <c r="B39" i="52"/>
  <c r="C34" i="52"/>
  <c r="B48" i="53"/>
  <c r="L3" i="38"/>
  <c r="E14" i="1"/>
  <c r="E26" i="1"/>
  <c r="N25" i="24"/>
  <c r="B33" i="52"/>
  <c r="B43" i="52"/>
  <c r="B40" i="53"/>
  <c r="B29" i="53"/>
  <c r="F14" i="1"/>
  <c r="F25" i="1"/>
  <c r="B30" i="52"/>
  <c r="B37" i="52"/>
  <c r="B36" i="53"/>
  <c r="B41" i="53"/>
  <c r="C33" i="83"/>
  <c r="B32" i="53"/>
  <c r="B29" i="83"/>
  <c r="E15" i="1"/>
  <c r="C29" i="52"/>
  <c r="B46" i="52"/>
  <c r="C47" i="53"/>
  <c r="C41" i="53"/>
  <c r="C29" i="83"/>
  <c r="C47" i="52"/>
  <c r="C43" i="53"/>
  <c r="D131" i="68" l="1"/>
  <c r="D335" i="68"/>
  <c r="D587" i="68"/>
  <c r="D683" i="68"/>
  <c r="D491" i="68"/>
  <c r="D803" i="68"/>
  <c r="D335" i="67"/>
  <c r="D467" i="67"/>
  <c r="D47" i="68"/>
  <c r="C5" i="66"/>
  <c r="C5" i="65"/>
  <c r="E5" i="65"/>
  <c r="E5" i="66"/>
  <c r="D4" i="52"/>
  <c r="D6" i="1"/>
  <c r="D4" i="53"/>
  <c r="C15" i="13"/>
  <c r="C5" i="13"/>
  <c r="D251" i="67"/>
  <c r="D155" i="67"/>
  <c r="D395" i="67"/>
  <c r="D71" i="68"/>
  <c r="D731" i="68"/>
  <c r="D911" i="68"/>
  <c r="D311" i="68"/>
  <c r="D119" i="67"/>
  <c r="D863" i="68"/>
  <c r="D59" i="67"/>
  <c r="D671" i="68"/>
  <c r="D647" i="68"/>
  <c r="D371" i="68"/>
  <c r="D167" i="68"/>
  <c r="D419" i="67"/>
  <c r="D539" i="68"/>
  <c r="D575" i="68"/>
  <c r="D263" i="67"/>
  <c r="D395" i="68"/>
  <c r="D383" i="67"/>
  <c r="D287" i="67"/>
  <c r="D239" i="68"/>
  <c r="D407" i="68"/>
  <c r="D431" i="68"/>
  <c r="D503" i="68"/>
  <c r="D11" i="68"/>
  <c r="D359" i="67"/>
  <c r="D467" i="68"/>
  <c r="D707" i="68"/>
  <c r="D263" i="68"/>
  <c r="D179" i="68"/>
  <c r="D779" i="68"/>
  <c r="D323" i="67"/>
  <c r="D23" i="68"/>
  <c r="D479" i="68"/>
  <c r="D839" i="68"/>
  <c r="D83" i="68"/>
  <c r="D923" i="68"/>
  <c r="D179" i="67"/>
  <c r="D107" i="68"/>
  <c r="D851" i="68"/>
  <c r="D695" i="68"/>
  <c r="D347" i="68"/>
  <c r="D215" i="67"/>
  <c r="D143" i="68"/>
  <c r="D455" i="67"/>
  <c r="D191" i="67"/>
  <c r="D383" i="68"/>
  <c r="D371" i="67"/>
  <c r="D515" i="68"/>
  <c r="D35" i="68"/>
  <c r="D431" i="67"/>
  <c r="D299" i="68"/>
  <c r="D275" i="68"/>
  <c r="D611" i="68"/>
  <c r="D419" i="68"/>
  <c r="D407" i="67"/>
  <c r="D227" i="67"/>
  <c r="D239" i="67"/>
  <c r="D347" i="67"/>
  <c r="D359" i="68"/>
  <c r="D323" i="68"/>
  <c r="D935" i="68"/>
  <c r="D827" i="68"/>
  <c r="D47" i="67"/>
  <c r="D311" i="67"/>
  <c r="D299" i="67"/>
  <c r="D95" i="67"/>
  <c r="D551" i="68"/>
  <c r="D875" i="68"/>
  <c r="D899" i="68"/>
  <c r="I59" i="13"/>
  <c r="I58" i="13"/>
  <c r="I60" i="13"/>
  <c r="I87" i="13"/>
  <c r="I88" i="13"/>
  <c r="P16" i="24"/>
  <c r="J16" i="24"/>
  <c r="N16" i="24"/>
  <c r="H16" i="24"/>
  <c r="I73" i="13"/>
  <c r="M5" i="65"/>
  <c r="D5" i="65"/>
  <c r="O5" i="65"/>
  <c r="L16" i="24"/>
  <c r="I72" i="13"/>
  <c r="I31" i="13"/>
  <c r="I30" i="13"/>
  <c r="I32" i="13"/>
  <c r="I46" i="13"/>
  <c r="I44" i="13"/>
  <c r="I45" i="13"/>
  <c r="E29" i="83"/>
  <c r="H7" i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E30" i="83"/>
  <c r="E29" i="53"/>
  <c r="E30" i="53"/>
  <c r="E31" i="53" s="1"/>
  <c r="E32" i="53" s="1"/>
  <c r="E33" i="53" s="1"/>
  <c r="E34" i="53" s="1"/>
  <c r="E35" i="53" s="1"/>
  <c r="E36" i="53" s="1"/>
  <c r="E37" i="53" s="1"/>
  <c r="E38" i="53" s="1"/>
  <c r="E39" i="53" s="1"/>
  <c r="E40" i="53" s="1"/>
  <c r="E41" i="53" s="1"/>
  <c r="E42" i="53" s="1"/>
  <c r="E43" i="53" s="1"/>
  <c r="E44" i="53" s="1"/>
  <c r="E45" i="53" s="1"/>
  <c r="E46" i="53" s="1"/>
  <c r="E47" i="53" s="1"/>
  <c r="E48" i="53" s="1"/>
  <c r="E30" i="52"/>
  <c r="E31" i="52" s="1"/>
  <c r="E32" i="52" s="1"/>
  <c r="E33" i="52" s="1"/>
  <c r="E34" i="52" s="1"/>
  <c r="E35" i="52" s="1"/>
  <c r="E36" i="52" s="1"/>
  <c r="E37" i="52" s="1"/>
  <c r="E38" i="52" s="1"/>
  <c r="E39" i="52" s="1"/>
  <c r="E40" i="52" s="1"/>
  <c r="E41" i="52" s="1"/>
  <c r="E42" i="52" s="1"/>
  <c r="E43" i="52" s="1"/>
  <c r="E44" i="52" s="1"/>
  <c r="E45" i="52" s="1"/>
  <c r="E46" i="52" s="1"/>
  <c r="E47" i="52" s="1"/>
  <c r="E29" i="52"/>
  <c r="E31" i="83"/>
  <c r="E32" i="83" s="1"/>
  <c r="E33" i="83" s="1"/>
  <c r="E31" i="54"/>
  <c r="E32" i="54" s="1"/>
  <c r="E33" i="54" s="1"/>
  <c r="E34" i="54" s="1"/>
  <c r="E35" i="54" s="1"/>
  <c r="E30" i="81"/>
  <c r="E31" i="81" s="1"/>
  <c r="E32" i="81" s="1"/>
  <c r="E33" i="81" s="1"/>
  <c r="E34" i="8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4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falls zu "probabilité" gehörend: weibliche Form</t>
        </r>
      </text>
    </comment>
    <comment ref="D9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falls zu "probabilité" gehörend: weibliche Form</t>
        </r>
      </text>
    </comment>
    <comment ref="D53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falls zu "probabilité" gehörend: weibliche Form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4" authorId="0" shapeId="0" xr:uid="{00000000-0006-0000-0300-000001000000}">
      <text>
        <r>
          <rPr>
            <sz val="9"/>
            <color indexed="81"/>
            <rFont val="Tahoma"/>
            <family val="2"/>
          </rPr>
          <t>min. = 1
max. = 10</t>
        </r>
      </text>
    </comment>
    <comment ref="E4" authorId="0" shapeId="0" xr:uid="{00000000-0006-0000-0300-000002000000}">
      <text>
        <r>
          <rPr>
            <sz val="9"/>
            <color indexed="81"/>
            <rFont val="Tahoma"/>
            <family val="2"/>
          </rPr>
          <t>min. = 1
max. = 10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H30" authorId="0" shapeId="0" xr:uid="{00000000-0006-0000-0900-000001000000}">
      <text>
        <r>
          <rPr>
            <sz val="9"/>
            <color indexed="81"/>
            <rFont val="Tahoma"/>
            <family val="2"/>
          </rPr>
          <t>1=grün
2=orange
3=rot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44" authorId="0" shapeId="0" xr:uid="{00000000-0006-0000-0900-000002000000}">
      <text>
        <r>
          <rPr>
            <sz val="9"/>
            <color indexed="81"/>
            <rFont val="Tahoma"/>
            <family val="2"/>
          </rPr>
          <t xml:space="preserve">1=grün
2=orange
3=rot
</t>
        </r>
      </text>
    </comment>
    <comment ref="H58" authorId="0" shapeId="0" xr:uid="{00000000-0006-0000-0900-000003000000}">
      <text>
        <r>
          <rPr>
            <sz val="9"/>
            <color indexed="81"/>
            <rFont val="Tahoma"/>
            <family val="2"/>
          </rPr>
          <t>1=grün
2=orange
3=rot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72" authorId="0" shapeId="0" xr:uid="{00000000-0006-0000-0900-000004000000}">
      <text>
        <r>
          <rPr>
            <sz val="9"/>
            <color indexed="81"/>
            <rFont val="Tahoma"/>
            <family val="2"/>
          </rPr>
          <t>1=grün
2=orange
3=rot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86" authorId="0" shapeId="0" xr:uid="{00000000-0006-0000-0900-000005000000}">
      <text>
        <r>
          <rPr>
            <sz val="9"/>
            <color indexed="81"/>
            <rFont val="Tahoma"/>
            <family val="2"/>
          </rPr>
          <t xml:space="preserve">1=grün
2=orange
3=rot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iSerge</author>
  </authors>
  <commentList>
    <comment ref="D5" authorId="0" shapeId="0" xr:uid="{00000000-0006-0000-1600-000001000000}">
      <text>
        <r>
          <rPr>
            <sz val="9"/>
            <color indexed="81"/>
            <rFont val="Tahoma"/>
            <family val="2"/>
          </rPr>
          <t xml:space="preserve">min. 0
max. 4
</t>
        </r>
      </text>
    </comment>
    <comment ref="E5" authorId="0" shapeId="0" xr:uid="{00000000-0006-0000-1600-000002000000}">
      <text>
        <r>
          <rPr>
            <sz val="9"/>
            <color indexed="81"/>
            <rFont val="Tahoma"/>
            <family val="2"/>
          </rPr>
          <t xml:space="preserve">min. 0
max. 4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G36" authorId="0" shapeId="0" xr:uid="{00000000-0006-0000-1D00-000001000000}">
      <text>
        <r>
          <rPr>
            <sz val="9"/>
            <color indexed="81"/>
            <rFont val="Tahoma"/>
            <family val="2"/>
          </rPr>
          <t>min. = 0
max. = 4</t>
        </r>
      </text>
    </comment>
    <comment ref="G50" authorId="0" shapeId="0" xr:uid="{00000000-0006-0000-1D00-000002000000}">
      <text>
        <r>
          <rPr>
            <sz val="9"/>
            <color indexed="81"/>
            <rFont val="Tahoma"/>
            <family val="2"/>
          </rPr>
          <t>min. = 0
max. = 4</t>
        </r>
      </text>
    </comment>
    <comment ref="G64" authorId="0" shapeId="0" xr:uid="{00000000-0006-0000-1D00-000003000000}">
      <text>
        <r>
          <rPr>
            <sz val="9"/>
            <color indexed="81"/>
            <rFont val="Tahoma"/>
            <family val="2"/>
          </rPr>
          <t>min. = 0
max. = 4</t>
        </r>
      </text>
    </comment>
    <comment ref="G78" authorId="0" shapeId="0" xr:uid="{00000000-0006-0000-1D00-000004000000}">
      <text>
        <r>
          <rPr>
            <sz val="9"/>
            <color indexed="81"/>
            <rFont val="Tahoma"/>
            <family val="2"/>
          </rPr>
          <t>min. = 0
max. = 4</t>
        </r>
      </text>
    </comment>
  </commentList>
</comments>
</file>

<file path=xl/sharedStrings.xml><?xml version="1.0" encoding="utf-8"?>
<sst xmlns="http://schemas.openxmlformats.org/spreadsheetml/2006/main" count="3658" uniqueCount="2110">
  <si>
    <t>Pareto X Axis</t>
  </si>
  <si>
    <t>Bars</t>
  </si>
  <si>
    <t>Ordered Rank</t>
  </si>
  <si>
    <t>Percentage</t>
  </si>
  <si>
    <t>Reason 1</t>
  </si>
  <si>
    <t>Deutsch</t>
  </si>
  <si>
    <t>Français</t>
  </si>
  <si>
    <t>English</t>
  </si>
  <si>
    <t>Italiano</t>
  </si>
  <si>
    <t>Aktuelle Sprache</t>
  </si>
  <si>
    <t>Sprache 1</t>
  </si>
  <si>
    <t>Sprache 2</t>
  </si>
  <si>
    <t>Sprache 3</t>
  </si>
  <si>
    <t>Sprache 4</t>
  </si>
  <si>
    <t>Sprache 5</t>
  </si>
  <si>
    <t>Aktuell angezeigte Sprache</t>
  </si>
  <si>
    <t>5_???</t>
  </si>
  <si>
    <t>contact info@2imanagement.ch</t>
  </si>
  <si>
    <t>intern</t>
  </si>
  <si>
    <t>interne</t>
  </si>
  <si>
    <t>Konkurrenz</t>
  </si>
  <si>
    <t>Concurrence</t>
  </si>
  <si>
    <t>Kunden</t>
  </si>
  <si>
    <t>Clients</t>
  </si>
  <si>
    <t>Wir</t>
  </si>
  <si>
    <t>Nous</t>
  </si>
  <si>
    <t>hoch</t>
  </si>
  <si>
    <t>gering</t>
  </si>
  <si>
    <t>Nr.</t>
  </si>
  <si>
    <t>No.</t>
  </si>
  <si>
    <t>Mögliche Massnahmen</t>
  </si>
  <si>
    <t>Mesures possibles</t>
  </si>
  <si>
    <t>Status</t>
  </si>
  <si>
    <t>Statut</t>
  </si>
  <si>
    <t>Einflussfaktoren</t>
  </si>
  <si>
    <t>Facteurs d'influence</t>
  </si>
  <si>
    <t>Auswirkungen</t>
  </si>
  <si>
    <t>Impact</t>
  </si>
  <si>
    <t>Stärke der Auswirkungen</t>
  </si>
  <si>
    <t>Intensité de l'impact</t>
  </si>
  <si>
    <t>Trend</t>
  </si>
  <si>
    <t>Ten-
dance</t>
  </si>
  <si>
    <t>Umsatz</t>
  </si>
  <si>
    <t>Bemerkungen</t>
  </si>
  <si>
    <t>Remarques</t>
  </si>
  <si>
    <t>Qualität</t>
  </si>
  <si>
    <t>Qualité</t>
  </si>
  <si>
    <t>Controlling</t>
  </si>
  <si>
    <t>Personal</t>
  </si>
  <si>
    <t>Quelle</t>
  </si>
  <si>
    <t>Source</t>
  </si>
  <si>
    <t>R I S I K O M A N A G E M E N T</t>
  </si>
  <si>
    <t>G E S T I O N   D U   R I S Q U E</t>
  </si>
  <si>
    <t>Eintretenswahrscheinlichkeit</t>
  </si>
  <si>
    <t>Probabilité d'occurrence</t>
  </si>
  <si>
    <t>élevée</t>
  </si>
  <si>
    <t>mittel</t>
  </si>
  <si>
    <t>moyenne</t>
  </si>
  <si>
    <t>faible</t>
  </si>
  <si>
    <t>Schadensausmass</t>
  </si>
  <si>
    <t>Étendue des dégâts</t>
  </si>
  <si>
    <t>Kein Handlungsbedarf</t>
  </si>
  <si>
    <t>Aucune action nécessaire</t>
  </si>
  <si>
    <t>Handlungsbedarf</t>
  </si>
  <si>
    <t>Action nécessaire</t>
  </si>
  <si>
    <t>Akuter Handlungsbedarf</t>
  </si>
  <si>
    <t>Action urgente</t>
  </si>
  <si>
    <t>Risiko</t>
  </si>
  <si>
    <t>Risque</t>
  </si>
  <si>
    <t>Eintretens-wahrscheinlich-keit</t>
  </si>
  <si>
    <t>Schadens-ausmass</t>
  </si>
  <si>
    <t>Étendue des dommages</t>
  </si>
  <si>
    <t>Ausmass der Auswirkungen</t>
  </si>
  <si>
    <t>Étendue de l'impact</t>
  </si>
  <si>
    <t>B E N C H M A R K I N G</t>
  </si>
  <si>
    <t>Vergleichsobjekte</t>
  </si>
  <si>
    <t>Objets de comparaison</t>
  </si>
  <si>
    <t>S W O T - A N A L Y S E</t>
  </si>
  <si>
    <t>A N A L Y S E   S W O T</t>
  </si>
  <si>
    <t>Stärken / Schwächen -&gt; interne Faktoren</t>
  </si>
  <si>
    <t>Forces / faiblesses -&gt; facteurs internes</t>
  </si>
  <si>
    <t>Stärken / Schwächen</t>
  </si>
  <si>
    <t>Forces / faiblesses</t>
  </si>
  <si>
    <t>Chancen / Gefahren</t>
  </si>
  <si>
    <t>Opportunités / menaces</t>
  </si>
  <si>
    <t>Gewichtung</t>
  </si>
  <si>
    <t>Pondération</t>
  </si>
  <si>
    <t>Chancen / Gefahren -&gt; externe Faktoren</t>
  </si>
  <si>
    <t>Opportunités / menaces -&gt; facteurs externes</t>
  </si>
  <si>
    <t>Stärken</t>
  </si>
  <si>
    <t>Forces</t>
  </si>
  <si>
    <t>Schwächen</t>
  </si>
  <si>
    <t>Faiblesses</t>
  </si>
  <si>
    <t>Chancen</t>
  </si>
  <si>
    <t>Opportunités</t>
  </si>
  <si>
    <t>Gefahren</t>
  </si>
  <si>
    <t>Menaces</t>
  </si>
  <si>
    <t>Total</t>
  </si>
  <si>
    <t>Totale</t>
  </si>
  <si>
    <t>in %</t>
  </si>
  <si>
    <t>en %</t>
  </si>
  <si>
    <t>trifft voll zu</t>
  </si>
  <si>
    <t xml:space="preserve">correspond tout à fait </t>
  </si>
  <si>
    <t>trifft eher zu</t>
  </si>
  <si>
    <t xml:space="preserve">correspond plutôt </t>
  </si>
  <si>
    <t>trifft teilweise zu</t>
  </si>
  <si>
    <t xml:space="preserve">correspond partiellement </t>
  </si>
  <si>
    <t>trifft eher nicht zu</t>
  </si>
  <si>
    <t>correspond peu</t>
  </si>
  <si>
    <t>trifft überhaupt nicht zu</t>
  </si>
  <si>
    <t xml:space="preserve">ne correspond pas du tout </t>
  </si>
  <si>
    <t>Nos propositions de valeur correspondent aux besoins de nos clients</t>
  </si>
  <si>
    <t>Nos propositions de valeur ont de forts effets sur le réseau (Networking)</t>
  </si>
  <si>
    <t>Unsere Margen sind hoch</t>
  </si>
  <si>
    <t>Nos marges sont élevées</t>
  </si>
  <si>
    <t>Unsere Erträge sind vorhersehbar</t>
  </si>
  <si>
    <t>Nos revenus sont prévisibles</t>
  </si>
  <si>
    <t>Wir haben wiederkehrende Einnahmen und häufige wiederholte Käufe</t>
  </si>
  <si>
    <t>Nous avons des flux de revenus récurrents et des achats répétés fréquents</t>
  </si>
  <si>
    <t>Unsere Einnahmequellen sind diversifiziert</t>
  </si>
  <si>
    <t>Nos flux de revenus sont diversifiés</t>
  </si>
  <si>
    <t>Unsere Einnahmequellen sind nachhaltig</t>
  </si>
  <si>
    <t>Nos flux de revenus sont durables</t>
  </si>
  <si>
    <t>Wir ziehen die Erträge ein bevor wir weitere Verpflichtungen eingehen</t>
  </si>
  <si>
    <t>Nous encaissons nos revenus avant d'engager nos dépenses</t>
  </si>
  <si>
    <t>Die Höhe der Rechnungsbeträge entsprechen dem, was der Kunde bereit ist zu bezahlen</t>
  </si>
  <si>
    <t>Nous facturons ce pour quoi les clients ont réellement envie de payer</t>
  </si>
  <si>
    <t>Unsere Preisgestaltung entspricht dem, was der Kunde bereit ist zu bezahlen</t>
  </si>
  <si>
    <t>Nos mécanismes de fixation des prix permettent de capter tout ce que le client est prêt à payer</t>
  </si>
  <si>
    <t>Unsere Kosten sind vorhersehbar</t>
  </si>
  <si>
    <t>Nos coûts sont prévisibles</t>
  </si>
  <si>
    <t>Unsere Kostenstruktur ist richtig auf unser Geschäftsmodell abgestimmt</t>
  </si>
  <si>
    <t>Notre structure de coûts est correctement adaptée à notre modèle d'affaires</t>
  </si>
  <si>
    <t>Wir profitieren von Skaleneffekten</t>
  </si>
  <si>
    <t>Nous bénéficions d'économies d'échelle</t>
  </si>
  <si>
    <t>Die Fluktuationsrate der Kunden ist gering</t>
  </si>
  <si>
    <t>Le taux de roulement de la clientèle est faible</t>
  </si>
  <si>
    <t>Die Kundensegmentierung ist gut</t>
  </si>
  <si>
    <t>La clientèle est bien segmentée</t>
  </si>
  <si>
    <t>Wir gewinnen regelmässig neue Kunden</t>
  </si>
  <si>
    <t>Nous acquérons régulièrement de nouveaux clients</t>
  </si>
  <si>
    <t>La pénétration des canaux est bonne</t>
  </si>
  <si>
    <t xml:space="preserve">Die Vertriebskanäle werden von unseren Kunden einfach identifiziert </t>
  </si>
  <si>
    <t>Les clients repèrent facilement nos canaux de distribution</t>
  </si>
  <si>
    <t>Die Vertriebskanäle sind sehr stark integriert</t>
  </si>
  <si>
    <t>Les canaux sont très intégrés</t>
  </si>
  <si>
    <t>Les canaux sont sources d'économie d'envergure (economies of scope)</t>
  </si>
  <si>
    <t>Die Qualität der Beziehung entspricht der Kundensegmentierung</t>
  </si>
  <si>
    <t>Unsere Marke ist stark</t>
  </si>
  <si>
    <t>Notre marque est forte</t>
  </si>
  <si>
    <t>Unsere wichtigsten Ressourcen sind für Konkurrenten schwierig zu kopieren</t>
  </si>
  <si>
    <t>Nos ressources clés sont difficiles à reproduire pour nos concurrents</t>
  </si>
  <si>
    <t>Der Bedarf an Ressourcen ist vorhersehbar</t>
  </si>
  <si>
    <t>Les besoins en ressources sont prévisibles</t>
  </si>
  <si>
    <t xml:space="preserve">Wir setzen unser Kerngeschäft effektiv um </t>
  </si>
  <si>
    <t>Nous exécutons efficacement nos activités clés</t>
  </si>
  <si>
    <t>Unsere Kernaktivitäten sind schwierig zu kopieren</t>
  </si>
  <si>
    <t>Nos activités clés sont difficilement copiables</t>
  </si>
  <si>
    <t>Die Ausführungsqualität ist hoch</t>
  </si>
  <si>
    <t xml:space="preserve">La qualité d'exécution est élevée </t>
  </si>
  <si>
    <t>Die Balance zwischen internen und ausgelagerten Tätigkeiten ist ideal</t>
  </si>
  <si>
    <t>L'équilibre entre les exécutions internes et les activités sous-traitées est idéale</t>
  </si>
  <si>
    <t>Nous sommes orientés partenaires et nous travaillons avec eux lorsque cela est nécessaire</t>
  </si>
  <si>
    <t>Wir pflegen eine gute Zusammenarbeit mit unseren wichtigsten Partnern</t>
  </si>
  <si>
    <t>Nous entretenons de bonnes relations de travail avec nos partenaires clés</t>
  </si>
  <si>
    <t>Impact (1 - 10)</t>
  </si>
  <si>
    <t>Fragen:</t>
  </si>
  <si>
    <t>Questions:</t>
  </si>
  <si>
    <t>Auswirkung:</t>
  </si>
  <si>
    <t>Impact:</t>
  </si>
  <si>
    <t>Total Punkte :</t>
  </si>
  <si>
    <t>Total points :</t>
  </si>
  <si>
    <t xml:space="preserve"> von </t>
  </si>
  <si>
    <t xml:space="preserve"> de </t>
  </si>
  <si>
    <t>Zusammenfassung</t>
  </si>
  <si>
    <t>Résumé</t>
  </si>
  <si>
    <t>Wir können wiederkehrende Einnahmen generieren, indem wir von Produkte Dienstleistungen ableiten</t>
  </si>
  <si>
    <t>Nous pouvons générer des revenus récurrents en convertissant des produits en services</t>
  </si>
  <si>
    <t>Il existe des compléments ou des extensions possibles de notre proposition de valeur</t>
  </si>
  <si>
    <t>Nous pourrions accomplir d'autres tâches pour nos clients</t>
  </si>
  <si>
    <t>Es gibt Ersatzprodukte und -dienstleistungen</t>
  </si>
  <si>
    <t>Des produits et des services de substitution sont disponibles</t>
  </si>
  <si>
    <t>Les concurrents menacent d'offrir de meilleurs prix ou plus de valeur</t>
  </si>
  <si>
    <t>Nous pourrions remplacer des revenus de transactions ponctuels par des revenus récurrents</t>
  </si>
  <si>
    <t>Unsere Kunden sind bereit für zusätzliche Produkte oder Dienstleistungen zu bezahlen</t>
  </si>
  <si>
    <t>Nos clients seraient disposés à payer pour d'autres produits et services</t>
  </si>
  <si>
    <t>Nous avons des occasions de ventes croisées/associées soit en interne, soit avec des partenaires</t>
  </si>
  <si>
    <t>Wir können zusätzliche Einnahmequellen generieren oder neu entwickeln</t>
  </si>
  <si>
    <t>Nous pourrions rajouter ou créer d'autres flux de revenus</t>
  </si>
  <si>
    <t>Wir können die Preise erhöhen</t>
  </si>
  <si>
    <t>Nous pouvons augmenter les prix</t>
  </si>
  <si>
    <t>Nos marges sont menacées par des concurrents, et/ou des nouvelles technologies</t>
  </si>
  <si>
    <t>Wir sind von einem oder mehreren Einkommensquellen abhängig</t>
  </si>
  <si>
    <t>Wir haben Einnahmequellen, die bald versiegen werden</t>
  </si>
  <si>
    <t xml:space="preserve">Nous avons des flux de revenus appelés à disparaître </t>
  </si>
  <si>
    <t>Wir können unsere Kosten senken</t>
  </si>
  <si>
    <t>Nous pouvons réduire nos coûts</t>
  </si>
  <si>
    <t>Einige Kosten können unberechenbar werden</t>
  </si>
  <si>
    <t>Certains coûts risquent de devenir imprévisibles</t>
  </si>
  <si>
    <t>Einige Kosten drohen schneller zu wachsen als die entsprechenden Einkünfte</t>
  </si>
  <si>
    <t>Certains coûts menacent d'augmenter plus rapidement que les revenus correspondants</t>
  </si>
  <si>
    <t>Wir können neue Kundensegemente bedienen</t>
  </si>
  <si>
    <t>Nous pourrions servir de nouveaux segments de clientèle</t>
  </si>
  <si>
    <t>Aufgrund einer feineren Segmentierung,  können wir unsere Kunden besser bedienen</t>
  </si>
  <si>
    <t>Nous pourrions mieux servir nos clients grâce à une segmentation plus fine</t>
  </si>
  <si>
    <t>Es besteht die Gefahr, dass unser Markt bald gesättigt ist</t>
  </si>
  <si>
    <t>Notre marché risque d'être bientôt saturé</t>
  </si>
  <si>
    <t>Unsere Konkurrenten bedrohen unseren Marktanteil</t>
  </si>
  <si>
    <t>Nos concurrents menacent nos parts de marché</t>
  </si>
  <si>
    <t>Es besteht die Möglichkeit, dass wir Kunden verlieren</t>
  </si>
  <si>
    <t>Il y a une probabilité que nos clients nous quittent</t>
  </si>
  <si>
    <t>Es besteht die Gefahr, dass unsere Kunden in Zahlungsverzug geraten</t>
  </si>
  <si>
    <t>Il y a des chances que nos clients sont en défaut de paiement</t>
  </si>
  <si>
    <t>Es besteht das Risiko, dass sich der Wettbewerb verschärft</t>
  </si>
  <si>
    <t>Nous pourrions améliorer l'intégration de nos canaux</t>
  </si>
  <si>
    <t>Nous pourrions trouver de nouveaux canaux partenaires complémentaires</t>
  </si>
  <si>
    <t>Wir können unsere Margen steigern indem wir unsere Kunden direkt bedienen</t>
  </si>
  <si>
    <t>Nous pourrions augmenter nos marges en servant directement nos clients</t>
  </si>
  <si>
    <t>Nous pouvons améliorer l'adéquation des canaux et des segments de clients</t>
  </si>
  <si>
    <t>Unsere Konkurrenten bedrohen unsere Vertriebskanäle</t>
  </si>
  <si>
    <t>Nos concurrents menacent nos canaux de distribution</t>
  </si>
  <si>
    <t>Nos canaux de distribution risquent de ne plus être pertinents/adaptés pour nos clients</t>
  </si>
  <si>
    <t>Die Kundenbetreuung kann verbessert werden</t>
  </si>
  <si>
    <t>Le suivi clients recèle un potentiel d'amélioration</t>
  </si>
  <si>
    <t>Wir können die Beziehungen zu unseren Kunden stärken</t>
  </si>
  <si>
    <t>Nous pourrions resserrer nos relations avec nos clients</t>
  </si>
  <si>
    <t>Nous pourrions améliorer la personnalisation</t>
  </si>
  <si>
    <t>Wir haben die unrentablen Kunden identifiziert und "beseitigt"</t>
  </si>
  <si>
    <t>Nous avons identifié et "éliminé" les clients non rentables</t>
  </si>
  <si>
    <t>Wir haben gewisse Beziehungen automatisiert</t>
  </si>
  <si>
    <t>Nous avons automatisé certaines relations</t>
  </si>
  <si>
    <t>Es besteht das Risiko, dass sich die Beziehungen zu unseren Kunden verschlechtert</t>
  </si>
  <si>
    <t>Nos relations avec les clients risquent de se détériorer</t>
  </si>
  <si>
    <t>Wir können billigere Ressourcen einsetzen um das gleiche Resultat zu erzielen</t>
  </si>
  <si>
    <t>Nous pouvons utiliser moins de ressources coûteuses pour arriver au même résultat</t>
  </si>
  <si>
    <t>Wir besitzen Kernressourcen, die zu wenig genutzt werden</t>
  </si>
  <si>
    <t>Nous avons des ressources clés qui sont sous-exploitées</t>
  </si>
  <si>
    <t>Wir besitzen Patente oder andere ungenutzte Erfindungen, die für andere von Wert sein könnten</t>
  </si>
  <si>
    <t>Nous avons des brevets ou d'autres découvertes inexploités qui pourraient avoir de la valeur pour d'autres</t>
  </si>
  <si>
    <t>Es besteht das Risiko, dass einige Ressourcen knapp werden könnten</t>
  </si>
  <si>
    <t>Nous risquons d'être confrontés à une rupture de l'offre de certaines ressources</t>
  </si>
  <si>
    <t>Die Qualität unserer Ressourcen sind in Gefahr</t>
  </si>
  <si>
    <t>La qualité de nos ressources est menacée</t>
  </si>
  <si>
    <t>Wir können einige Kernaktivitäten standardisieren</t>
  </si>
  <si>
    <t>Nous pouvons standardiser certaines activités clés</t>
  </si>
  <si>
    <t>Wir können allgemein unsere Leistung verbessern</t>
  </si>
  <si>
    <t>Nous pourrions améliorer notre performance de manière générale</t>
  </si>
  <si>
    <t>Eine Informatikunterstützung könnte unsere Leistung steigern</t>
  </si>
  <si>
    <t>Un support informatique pourrait améliorer notre performance</t>
  </si>
  <si>
    <t>Kernaktivitäten könnten gestört werden</t>
  </si>
  <si>
    <t>Die Qualität unserer Aktivitäten ist in Gefahr</t>
  </si>
  <si>
    <t>La qualité de nos activités est menacée</t>
  </si>
  <si>
    <t>Eine verstärkte Zusammenarbeit mit unseren Partnern würde helfen, uns auf unser Kerngeschäft zu konzentrieren</t>
  </si>
  <si>
    <t>Es bestehen Möglichkeiten Gegengeschäfte mit unseren Partnern zu tätigen</t>
  </si>
  <si>
    <t>Il existe des opportunités de ventes-croisées/associées avec nos partenaires</t>
  </si>
  <si>
    <t>Die Vertriebskanäle unserer Partner könnten uns helfen, zusätzliche Kunden zu erreichen</t>
  </si>
  <si>
    <t>Les canaux de distribution de partenaires pourraient nous aider à toucher davantage de clients</t>
  </si>
  <si>
    <t>Nos partenaires pourraient compléter notre proposition de valeur</t>
  </si>
  <si>
    <t>Wir riskieren, Partner zu verlieren</t>
  </si>
  <si>
    <t>Nous risquons de perdre des partenaires</t>
  </si>
  <si>
    <t>Unser Partner könnten mit den Konkurrenten zusammenarbeiten</t>
  </si>
  <si>
    <t>Nos partenaires pourraient collaborer avec des concurrents</t>
  </si>
  <si>
    <t>Wir sind von einigen Partnern zu stark abhängig</t>
  </si>
  <si>
    <t>Nous sommes trop dépendants de certains partenaires</t>
  </si>
  <si>
    <t>Strategien</t>
  </si>
  <si>
    <t>Stratégies</t>
  </si>
  <si>
    <t>Alles anzeigen</t>
  </si>
  <si>
    <t>Afficher tout</t>
  </si>
  <si>
    <t>Filter Druck</t>
  </si>
  <si>
    <t>Filtre impression</t>
  </si>
  <si>
    <t>Links zu Dokumenten</t>
  </si>
  <si>
    <t>Liens vers des documents</t>
  </si>
  <si>
    <t>E I N G A B E M A S K E</t>
  </si>
  <si>
    <t>M A S Q U E   D E   S A I S I E</t>
  </si>
  <si>
    <t>Strategische Indikatoren</t>
  </si>
  <si>
    <t>Indicateurs stratégiques</t>
  </si>
  <si>
    <t>IST</t>
  </si>
  <si>
    <t>ÊTRE</t>
  </si>
  <si>
    <t>SOLL</t>
  </si>
  <si>
    <t>DOIT</t>
  </si>
  <si>
    <t>erreicht</t>
  </si>
  <si>
    <t>atteint</t>
  </si>
  <si>
    <t>rot</t>
  </si>
  <si>
    <t>rouge</t>
  </si>
  <si>
    <t>gelb</t>
  </si>
  <si>
    <t>jaune</t>
  </si>
  <si>
    <t>Indikatoren</t>
  </si>
  <si>
    <t>Indicateurs</t>
  </si>
  <si>
    <t>Projekte</t>
  </si>
  <si>
    <t>Projets</t>
  </si>
  <si>
    <t>Link zum Projekt</t>
  </si>
  <si>
    <t>Lien vers projet</t>
  </si>
  <si>
    <t>Beginn</t>
  </si>
  <si>
    <t>Début</t>
  </si>
  <si>
    <t>Ende</t>
  </si>
  <si>
    <t>Fin</t>
  </si>
  <si>
    <t>Wer?</t>
  </si>
  <si>
    <t>Qui?</t>
  </si>
  <si>
    <t>S T R A T E G I S C H E   I N D I K A T O R E N</t>
  </si>
  <si>
    <t>I N D I C A T E U R S   S T R A T É G I Q U E</t>
  </si>
  <si>
    <t>Berechnung</t>
  </si>
  <si>
    <t>Calcul</t>
  </si>
  <si>
    <t>Beschreibung/Bemerkungen</t>
  </si>
  <si>
    <t>Description/Remarques</t>
  </si>
  <si>
    <t>Erhebungszeitpunkt &amp; Branchenvergleich</t>
  </si>
  <si>
    <t>Moment de l'enquête &amp; Comparaison avec la branche</t>
  </si>
  <si>
    <t>I N D I K A T O R E N   Z I E L E</t>
  </si>
  <si>
    <t>I N D I C A T E U R S   O B J E C T I F S</t>
  </si>
  <si>
    <t>K O M M U N I K A T I O N</t>
  </si>
  <si>
    <t>C O M M U N I C A T I O N</t>
  </si>
  <si>
    <t>Internet</t>
  </si>
  <si>
    <t>Social Medias</t>
  </si>
  <si>
    <t>Public Relations</t>
  </si>
  <si>
    <t>Relations publiques</t>
  </si>
  <si>
    <t>Diverses</t>
  </si>
  <si>
    <t>Divers</t>
  </si>
  <si>
    <t>Kriterium</t>
  </si>
  <si>
    <t>Critère</t>
  </si>
  <si>
    <t>Bewertung</t>
  </si>
  <si>
    <t>Evaluation</t>
  </si>
  <si>
    <t>U R S A C H E  -  W I R K U N G S  -  D I A G R A M M</t>
  </si>
  <si>
    <t>D I A G R A M M E   D E   C A U S E S   E T   E F F E T S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</si>
  <si>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</si>
  <si>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</si>
  <si>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</si>
  <si>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</si>
  <si>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</si>
  <si>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</si>
  <si>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</si>
  <si>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</si>
  <si>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</si>
  <si>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</si>
  <si>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</si>
  <si>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</si>
  <si>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</si>
  <si>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</si>
  <si>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</si>
  <si>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</si>
  <si>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</si>
  <si>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</si>
  <si>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TOTAL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</si>
  <si>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</si>
  <si>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</si>
  <si>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</si>
  <si>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</si>
  <si>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</si>
  <si>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</si>
  <si>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</si>
  <si>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</si>
  <si>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</si>
  <si>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</si>
  <si>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</si>
  <si>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</si>
  <si>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</si>
  <si>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</si>
  <si>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</si>
  <si>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</si>
  <si>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</si>
  <si>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</si>
  <si>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</si>
  <si>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</si>
  <si>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</si>
  <si>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</si>
  <si>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</si>
  <si>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</si>
  <si>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</si>
  <si>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</si>
  <si>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</si>
  <si>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</si>
  <si>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</si>
  <si>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</si>
  <si>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o1</t>
  </si>
  <si>
    <t>t1</t>
  </si>
  <si>
    <t>o2</t>
  </si>
  <si>
    <t>t2</t>
  </si>
  <si>
    <t>o3</t>
  </si>
  <si>
    <t>t3</t>
  </si>
  <si>
    <t>o4</t>
  </si>
  <si>
    <t>t4</t>
  </si>
  <si>
    <t>o5</t>
  </si>
  <si>
    <t>t5</t>
  </si>
  <si>
    <t>o6</t>
  </si>
  <si>
    <t>t6</t>
  </si>
  <si>
    <t>o7</t>
  </si>
  <si>
    <t>t7</t>
  </si>
  <si>
    <t>o8</t>
  </si>
  <si>
    <t>t8</t>
  </si>
  <si>
    <t>o9</t>
  </si>
  <si>
    <t>t9</t>
  </si>
  <si>
    <t>o10</t>
  </si>
  <si>
    <t>t10</t>
  </si>
  <si>
    <t>o11</t>
  </si>
  <si>
    <t>t11</t>
  </si>
  <si>
    <t>o12</t>
  </si>
  <si>
    <t>t12</t>
  </si>
  <si>
    <t>o13</t>
  </si>
  <si>
    <t>t13</t>
  </si>
  <si>
    <t>o14</t>
  </si>
  <si>
    <t>t14</t>
  </si>
  <si>
    <t>o15</t>
  </si>
  <si>
    <t>t15</t>
  </si>
  <si>
    <t>o16</t>
  </si>
  <si>
    <t>t16</t>
  </si>
  <si>
    <t>o17</t>
  </si>
  <si>
    <t>t17</t>
  </si>
  <si>
    <t>o18</t>
  </si>
  <si>
    <t>t18</t>
  </si>
  <si>
    <t>x!A192</t>
  </si>
  <si>
    <t>Kriterium 1</t>
  </si>
  <si>
    <t>Kriterium 2</t>
  </si>
  <si>
    <t>Kriterium 3</t>
  </si>
  <si>
    <t>R13</t>
  </si>
  <si>
    <t>R14</t>
  </si>
  <si>
    <t>R15</t>
  </si>
  <si>
    <t>l</t>
  </si>
  <si>
    <t>u</t>
  </si>
  <si>
    <t>Comparaison 1</t>
  </si>
  <si>
    <t>Comparaison 2</t>
  </si>
  <si>
    <t>CUSTOMER RELATIONSHIP</t>
  </si>
  <si>
    <t>/</t>
  </si>
  <si>
    <t>REVENUE STREAMS</t>
  </si>
  <si>
    <t>COST STRUCTURE</t>
  </si>
  <si>
    <t>CUSTOMER SEGMENTS</t>
  </si>
  <si>
    <t>CHANNELS</t>
  </si>
  <si>
    <t>KEY RESSOURCES</t>
  </si>
  <si>
    <t>KEY ACTIVITIES</t>
  </si>
  <si>
    <t>KEY PARTNERSHIP</t>
  </si>
  <si>
    <t>Kreisgrösse</t>
  </si>
  <si>
    <t>Anzahl</t>
  </si>
  <si>
    <t>Reason 2</t>
  </si>
  <si>
    <t>Reason 3</t>
  </si>
  <si>
    <t>Reason 4</t>
  </si>
  <si>
    <t>Reason 5</t>
  </si>
  <si>
    <t>Reason 6</t>
  </si>
  <si>
    <t>Reason 7</t>
  </si>
  <si>
    <t>Reason 8</t>
  </si>
  <si>
    <t>Reason 9</t>
  </si>
  <si>
    <t>Reason 10</t>
  </si>
  <si>
    <t>Reason 11</t>
  </si>
  <si>
    <t>Reason 12</t>
  </si>
  <si>
    <t>Reason 13</t>
  </si>
  <si>
    <t>Reason 14</t>
  </si>
  <si>
    <t>Reason 15</t>
  </si>
  <si>
    <t>Reason 16</t>
  </si>
  <si>
    <t>Reason 17</t>
  </si>
  <si>
    <t>Reason 18</t>
  </si>
  <si>
    <t>Reason 19</t>
  </si>
  <si>
    <t>Reason 20</t>
  </si>
  <si>
    <t>Ursachen des Problems</t>
  </si>
  <si>
    <t>Ranking</t>
  </si>
  <si>
    <t>P A R E T O   D I A G R A M M</t>
  </si>
  <si>
    <t>D I A G R A M M E   D E   P A R E T O</t>
  </si>
  <si>
    <t>Kundenzufriedenheit</t>
  </si>
  <si>
    <t>Möchten Sie das Programm "Strategisches Management" öffnen?</t>
  </si>
  <si>
    <t>Prozess</t>
  </si>
  <si>
    <t>Einheit</t>
  </si>
  <si>
    <t>Aktueller Wert</t>
  </si>
  <si>
    <t>Verbesserung / Verschlechterung</t>
  </si>
  <si>
    <t>Idee 1</t>
  </si>
  <si>
    <t>Idee 2</t>
  </si>
  <si>
    <t>Idee 3</t>
  </si>
  <si>
    <t>absolut</t>
  </si>
  <si>
    <t>%</t>
  </si>
  <si>
    <t>Gewinnmarge</t>
  </si>
  <si>
    <t>Anzahl Kunden</t>
  </si>
  <si>
    <t>STK</t>
  </si>
  <si>
    <t>Vertriebskosten</t>
  </si>
  <si>
    <t>Mio. SFr.</t>
  </si>
  <si>
    <t>Processus</t>
  </si>
  <si>
    <t>Unité</t>
  </si>
  <si>
    <t>Valeur actuelle</t>
  </si>
  <si>
    <t>Amélioration / détérioration</t>
  </si>
  <si>
    <t>absolue</t>
  </si>
  <si>
    <t>Stellen Sie sicher, dass die Datei "02_StrategicManagement.exe" im selben Verzeichnis abgelegt ist!</t>
  </si>
  <si>
    <t xml:space="preserve">P R O Z E S S </t>
  </si>
  <si>
    <t>P R O C E S S U S</t>
  </si>
  <si>
    <t>Name</t>
  </si>
  <si>
    <t>Nom</t>
  </si>
  <si>
    <t>Verantwortung</t>
  </si>
  <si>
    <t>Responsable</t>
  </si>
  <si>
    <t>aktualisiert am:</t>
  </si>
  <si>
    <t>actualisé le :</t>
  </si>
  <si>
    <t>Anderer Prozess</t>
  </si>
  <si>
    <t>Autre Processus</t>
  </si>
  <si>
    <t>Nächste Seite</t>
  </si>
  <si>
    <t>Page suivante</t>
  </si>
  <si>
    <t>Beginn/Ende</t>
  </si>
  <si>
    <t>Début/Fin</t>
  </si>
  <si>
    <t>Anschluss</t>
  </si>
  <si>
    <t>Lien</t>
  </si>
  <si>
    <t>Dokument</t>
  </si>
  <si>
    <t>Document</t>
  </si>
  <si>
    <t>Entscheid</t>
  </si>
  <si>
    <t>Décision</t>
  </si>
  <si>
    <t>Forts.</t>
  </si>
  <si>
    <t>Suite</t>
  </si>
  <si>
    <t>ja</t>
  </si>
  <si>
    <t>oui</t>
  </si>
  <si>
    <t>nein</t>
  </si>
  <si>
    <t xml:space="preserve">non </t>
  </si>
  <si>
    <t>S. 2</t>
  </si>
  <si>
    <t>p. 2</t>
  </si>
  <si>
    <t>Nr. Prozess</t>
  </si>
  <si>
    <t>No. processus</t>
  </si>
  <si>
    <t>Text</t>
  </si>
  <si>
    <t>Texte</t>
  </si>
  <si>
    <t>Voulez-vous ouvrir le programme "Tableau de bord"?</t>
  </si>
  <si>
    <t>Stellen Sie sicher, dass die Datei "01_Cockpit.exe" im selben Verzeichnis abgelegt ist!</t>
  </si>
  <si>
    <t>Assurez-vous, que le fichier "01_Cockpit.exe" se touve dans le même répertoire!</t>
  </si>
  <si>
    <t>Andere Dokumente öffen</t>
  </si>
  <si>
    <t>Ouvrir autres documents</t>
  </si>
  <si>
    <t>Idee</t>
  </si>
  <si>
    <t>Idée</t>
  </si>
  <si>
    <t>I D E E   V E R G L E I C H S  - M A T R I X</t>
  </si>
  <si>
    <t>M A T R I C E  D E  C O M P A R A I S O N   D' I D É E S</t>
  </si>
  <si>
    <t>F E H L E R A N A L Y S E</t>
  </si>
  <si>
    <t>A N A L Y S E   D E S   E R R E U R E S</t>
  </si>
  <si>
    <t>Prozess / Produkt / Dienstleistung</t>
  </si>
  <si>
    <t>Processus / Produit / Prestation de service</t>
  </si>
  <si>
    <t>Fehler</t>
  </si>
  <si>
    <t>Erreur</t>
  </si>
  <si>
    <t>Raisons du problème</t>
  </si>
  <si>
    <t>Error 1</t>
  </si>
  <si>
    <t>Error 2</t>
  </si>
  <si>
    <t>Error 3</t>
  </si>
  <si>
    <t>Error 4</t>
  </si>
  <si>
    <t>Error 5</t>
  </si>
  <si>
    <t>Error 6</t>
  </si>
  <si>
    <t>Error 7</t>
  </si>
  <si>
    <t>Error 8</t>
  </si>
  <si>
    <t>Error 9</t>
  </si>
  <si>
    <t>Error 10</t>
  </si>
  <si>
    <t>Error 11</t>
  </si>
  <si>
    <t>Error 12</t>
  </si>
  <si>
    <t>Error 13</t>
  </si>
  <si>
    <t>Error 14</t>
  </si>
  <si>
    <t>Error 15</t>
  </si>
  <si>
    <t>Error 16</t>
  </si>
  <si>
    <t>Error 17</t>
  </si>
  <si>
    <t>Error 18</t>
  </si>
  <si>
    <t>Error 19</t>
  </si>
  <si>
    <t>Raisons</t>
  </si>
  <si>
    <t>Ursachen</t>
  </si>
  <si>
    <t>Probabilité d'occurence</t>
  </si>
  <si>
    <t>Auftretenswahr-scheinlichkeit</t>
  </si>
  <si>
    <t>Häufig-keit</t>
  </si>
  <si>
    <t>Fré-quence</t>
  </si>
  <si>
    <t>Réclamations</t>
  </si>
  <si>
    <t>Reklamationen</t>
  </si>
  <si>
    <t>Reklamation 1</t>
  </si>
  <si>
    <t>Reklamation 2</t>
  </si>
  <si>
    <t>Reklamation 3</t>
  </si>
  <si>
    <t>Reklamation 4</t>
  </si>
  <si>
    <t>Reklamation 5</t>
  </si>
  <si>
    <t>Reklamation 6</t>
  </si>
  <si>
    <t>Reklamation 7</t>
  </si>
  <si>
    <t>Reklamation 8</t>
  </si>
  <si>
    <t>Reklamation 9</t>
  </si>
  <si>
    <t>Reklamation 10</t>
  </si>
  <si>
    <t>Reklamation 11</t>
  </si>
  <si>
    <t>Reklamation 12</t>
  </si>
  <si>
    <t>Reklamation 13</t>
  </si>
  <si>
    <t>Reklamation 14</t>
  </si>
  <si>
    <t>Reklamation 15</t>
  </si>
  <si>
    <t>Reklamation 16</t>
  </si>
  <si>
    <t>Reklamation 17</t>
  </si>
  <si>
    <t>Reklamation 18</t>
  </si>
  <si>
    <t>Reklamation 19</t>
  </si>
  <si>
    <t>R É C L A M A T I O N S   D E S   C L I E N T S</t>
  </si>
  <si>
    <t>K U N D E N R E K L A M A T I O N E N</t>
  </si>
  <si>
    <t>du:</t>
  </si>
  <si>
    <t>bis:</t>
  </si>
  <si>
    <t>au:</t>
  </si>
  <si>
    <t>Process 1</t>
  </si>
  <si>
    <t>Process 2</t>
  </si>
  <si>
    <t>Process 3</t>
  </si>
  <si>
    <t>Process 4</t>
  </si>
  <si>
    <t>Process 5</t>
  </si>
  <si>
    <t>Process 6</t>
  </si>
  <si>
    <t>Process 7</t>
  </si>
  <si>
    <t>Process 8</t>
  </si>
  <si>
    <t>Process 9</t>
  </si>
  <si>
    <t>Process 10</t>
  </si>
  <si>
    <t>Process 11</t>
  </si>
  <si>
    <t>Process 12</t>
  </si>
  <si>
    <t>Process 13</t>
  </si>
  <si>
    <t>Process 14</t>
  </si>
  <si>
    <t>Process 15</t>
  </si>
  <si>
    <t>Process 16</t>
  </si>
  <si>
    <t>Process 17</t>
  </si>
  <si>
    <t>Process 18</t>
  </si>
  <si>
    <t>Process 19</t>
  </si>
  <si>
    <t>Process 20</t>
  </si>
  <si>
    <t>vom:</t>
  </si>
  <si>
    <t>Plus value pour clients</t>
  </si>
  <si>
    <t>Kunden-nutzen</t>
  </si>
  <si>
    <t>Möchten Sie das Programm "Balanced Scorecard" öffnen?</t>
  </si>
  <si>
    <t>Voulez-vous ouvrir le programme "Balanced Scorcard"?</t>
  </si>
  <si>
    <t>Prozesse</t>
  </si>
  <si>
    <t>Interne</t>
  </si>
  <si>
    <t>Externe</t>
  </si>
  <si>
    <t>Intern</t>
  </si>
  <si>
    <t>Extern</t>
  </si>
  <si>
    <t>Finanzen</t>
  </si>
  <si>
    <t>Finances</t>
  </si>
  <si>
    <t>Ziel 1</t>
  </si>
  <si>
    <t>Indikator 1</t>
  </si>
  <si>
    <t>Strategie 1</t>
  </si>
  <si>
    <t>Ziel 2</t>
  </si>
  <si>
    <t>Ziel 3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</si>
  <si>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</si>
  <si>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</si>
  <si>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</si>
  <si>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</si>
  <si>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</si>
  <si>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</si>
  <si>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</si>
  <si>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</si>
  <si>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</si>
  <si>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</si>
  <si>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</si>
  <si>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</si>
  <si>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</si>
  <si>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</si>
  <si>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</si>
  <si>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</si>
  <si>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</si>
  <si>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</si>
  <si>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s19</t>
  </si>
  <si>
    <t>o37</t>
  </si>
  <si>
    <t>o38</t>
  </si>
  <si>
    <t>s20</t>
  </si>
  <si>
    <t>o39</t>
  </si>
  <si>
    <t>o40</t>
  </si>
  <si>
    <t>s21</t>
  </si>
  <si>
    <t>o41</t>
  </si>
  <si>
    <t>o42</t>
  </si>
  <si>
    <t>s22</t>
  </si>
  <si>
    <t>o43</t>
  </si>
  <si>
    <t>o44</t>
  </si>
  <si>
    <t>s23</t>
  </si>
  <si>
    <t>o45</t>
  </si>
  <si>
    <t>o46</t>
  </si>
  <si>
    <t>s24</t>
  </si>
  <si>
    <t>o47</t>
  </si>
  <si>
    <t>o48</t>
  </si>
  <si>
    <t>s25</t>
  </si>
  <si>
    <t>o49</t>
  </si>
  <si>
    <t>o50</t>
  </si>
  <si>
    <t>s26</t>
  </si>
  <si>
    <t>o51</t>
  </si>
  <si>
    <t>o52</t>
  </si>
  <si>
    <t>s27</t>
  </si>
  <si>
    <t>o53</t>
  </si>
  <si>
    <t>o54</t>
  </si>
  <si>
    <t>s28</t>
  </si>
  <si>
    <t>o55</t>
  </si>
  <si>
    <t>o56</t>
  </si>
  <si>
    <t>s29</t>
  </si>
  <si>
    <t>o57</t>
  </si>
  <si>
    <t>o58</t>
  </si>
  <si>
    <t>s30</t>
  </si>
  <si>
    <t>o59</t>
  </si>
  <si>
    <t>o60</t>
  </si>
  <si>
    <t>s31</t>
  </si>
  <si>
    <t>o61</t>
  </si>
  <si>
    <t>o62</t>
  </si>
  <si>
    <t>s32</t>
  </si>
  <si>
    <t>o63</t>
  </si>
  <si>
    <t>o64</t>
  </si>
  <si>
    <t>s33</t>
  </si>
  <si>
    <t>o65</t>
  </si>
  <si>
    <t>o66</t>
  </si>
  <si>
    <t>s34</t>
  </si>
  <si>
    <t>o67</t>
  </si>
  <si>
    <t>o68</t>
  </si>
  <si>
    <t>s35</t>
  </si>
  <si>
    <t>o69</t>
  </si>
  <si>
    <t>o70</t>
  </si>
  <si>
    <t>s36</t>
  </si>
  <si>
    <t>o71</t>
  </si>
  <si>
    <t>o72</t>
  </si>
  <si>
    <t>s37</t>
  </si>
  <si>
    <t>o73</t>
  </si>
  <si>
    <t>o74</t>
  </si>
  <si>
    <t>s38</t>
  </si>
  <si>
    <t>o75</t>
  </si>
  <si>
    <t>o76</t>
  </si>
  <si>
    <t>s39</t>
  </si>
  <si>
    <t>o77</t>
  </si>
  <si>
    <t>o78</t>
  </si>
  <si>
    <t>s40</t>
  </si>
  <si>
    <t>o79</t>
  </si>
  <si>
    <t>o80</t>
  </si>
  <si>
    <t>Projet 1</t>
  </si>
  <si>
    <t xml:space="preserve">
</t>
  </si>
  <si>
    <t>Bezeichnung</t>
  </si>
  <si>
    <t>Désignation</t>
  </si>
  <si>
    <t>Hauptstärken</t>
  </si>
  <si>
    <t>Forces principales</t>
  </si>
  <si>
    <t>Hauptschwächen</t>
  </si>
  <si>
    <t>Faiblesses principales</t>
  </si>
  <si>
    <t>S T A K E H O L D E R - A N A L Y S E</t>
  </si>
  <si>
    <t>A N A L Y S E   D E S   P A R T I E S   P R E N A N T E S</t>
  </si>
  <si>
    <t>weites Umfeld</t>
  </si>
  <si>
    <t>Contexte large</t>
  </si>
  <si>
    <t>nahes Umfeld</t>
  </si>
  <si>
    <t>Contexte restreint</t>
  </si>
  <si>
    <t>häufiger Kontakt</t>
  </si>
  <si>
    <t>contacts fréquents</t>
  </si>
  <si>
    <t>regelmässiger Kontakt</t>
  </si>
  <si>
    <t>contacts réguliers</t>
  </si>
  <si>
    <t>seltener Kontakt</t>
  </si>
  <si>
    <t>contacts rares</t>
  </si>
  <si>
    <t>grande</t>
  </si>
  <si>
    <t>gross</t>
  </si>
  <si>
    <t>grand</t>
  </si>
  <si>
    <t>Einfluss der Stakeholder</t>
  </si>
  <si>
    <t>Influence des parties prenantes</t>
  </si>
  <si>
    <t>petite</t>
  </si>
  <si>
    <t>klein</t>
  </si>
  <si>
    <t>petit</t>
  </si>
  <si>
    <t>Intersse der Stakeholder</t>
  </si>
  <si>
    <t>Intérêt des parties prenantes</t>
  </si>
  <si>
    <t>Anspruchsgruppe</t>
  </si>
  <si>
    <t>Groupe de parties prenantes</t>
  </si>
  <si>
    <t>Interessen, Erwartungen</t>
  </si>
  <si>
    <t>Intérêt, attentes</t>
  </si>
  <si>
    <t>Stärke der Interessen</t>
  </si>
  <si>
    <t>Etendue de l'intérêt</t>
  </si>
  <si>
    <t>Höhe des Einflusses</t>
  </si>
  <si>
    <t>Etendue de l'influence</t>
  </si>
  <si>
    <t>Chancen (+) und 
Gefahren (-)</t>
  </si>
  <si>
    <t>Chances (+) et 
Dangers (-)</t>
  </si>
  <si>
    <t>Grösse der Gruppe</t>
  </si>
  <si>
    <t>Taille du groupe</t>
  </si>
  <si>
    <t>Groupe 1</t>
  </si>
  <si>
    <t>Möchten Sie das Programm "Business Plan" öffnen?</t>
  </si>
  <si>
    <t>Voulez-vous ouvrir le programme "Business Plan"?</t>
  </si>
  <si>
    <t>Stellen Sie sicher, dass die Datei "04_BusinessPlan.exe" im selben Verzeichnis abgelegt ist!</t>
  </si>
  <si>
    <t>Assurez-vous, que le fichier  "04_BusinessPlan.exe" se touve dans le même répertoire!</t>
  </si>
  <si>
    <t>Politische Trends</t>
  </si>
  <si>
    <t>Tendances politiques</t>
  </si>
  <si>
    <t>Ökonomische Trends</t>
  </si>
  <si>
    <t>Tendances économiques</t>
  </si>
  <si>
    <t>Soziologische Trends</t>
  </si>
  <si>
    <t>Tendances sociologiques</t>
  </si>
  <si>
    <t>Technologische Trends</t>
  </si>
  <si>
    <t>Tendances technologiques</t>
  </si>
  <si>
    <t>Rechtliche Trends</t>
  </si>
  <si>
    <t>Tendances légales</t>
  </si>
  <si>
    <t>Ökologische Trends</t>
  </si>
  <si>
    <t>Tendances écologiques</t>
  </si>
  <si>
    <t>Mögliche Innovationen</t>
  </si>
  <si>
    <t>Innovations possibles</t>
  </si>
  <si>
    <t>Reklamation 20</t>
  </si>
  <si>
    <t>Bereich</t>
  </si>
  <si>
    <t>Domaine</t>
  </si>
  <si>
    <t>??</t>
  </si>
  <si>
    <t>Quotient</t>
  </si>
  <si>
    <t>?</t>
  </si>
  <si>
    <t>K O S T E N  -  N U T Z E N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</si>
  <si>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</si>
  <si>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</si>
  <si>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</si>
  <si>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</si>
  <si>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</si>
  <si>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</si>
  <si>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</si>
  <si>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</si>
  <si>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</si>
  <si>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</si>
  <si>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</si>
  <si>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</si>
  <si>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</si>
  <si>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</si>
  <si>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</si>
  <si>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</si>
  <si>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</si>
  <si>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</si>
  <si>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</si>
  <si>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</si>
  <si>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Innovation 1</t>
  </si>
  <si>
    <t>Innovation 2</t>
  </si>
  <si>
    <t>Kosten</t>
  </si>
  <si>
    <t>Coût</t>
  </si>
  <si>
    <t>Nutzen</t>
  </si>
  <si>
    <t>Avantages</t>
  </si>
  <si>
    <t>Produkteinnovation</t>
  </si>
  <si>
    <t>Prozessinnovation</t>
  </si>
  <si>
    <t>Organisatorische Innovation</t>
  </si>
  <si>
    <t>Innovation produit</t>
  </si>
  <si>
    <t>Dienstleistungs-innovation</t>
  </si>
  <si>
    <t>Efforts</t>
  </si>
  <si>
    <t>Innovation prest. service</t>
  </si>
  <si>
    <t>Innovation organisationnelle</t>
  </si>
  <si>
    <t>grands</t>
  </si>
  <si>
    <t>petits</t>
  </si>
  <si>
    <t>C O Û T  -   A V A N T A G E</t>
  </si>
  <si>
    <t>Aufwand</t>
  </si>
  <si>
    <t>Möchten Sie das Programm "Projektmanagement" öffnen?</t>
  </si>
  <si>
    <t>Voulez-vous ouvrir le programme "Gestion de projets"?</t>
  </si>
  <si>
    <t>Stellen Sie sicher, dass die Datei "03_ProjectManagement.exe" im selben Verzeichnis abgelegt ist!</t>
  </si>
  <si>
    <t>Assurez-vous, que le fichier "03_ProjectManagement.exe" se touve dans le même répertoire!</t>
  </si>
  <si>
    <t>Möchten Sie das Programm "Führungsockpit" öffnen?</t>
  </si>
  <si>
    <t>V A R I A N T E N B E W E R T U N G</t>
  </si>
  <si>
    <t>É V A L U A T I O N   D E S   V A R I A N T E S</t>
  </si>
  <si>
    <t>Indikator</t>
  </si>
  <si>
    <t>Indicateur</t>
  </si>
  <si>
    <t>Datum</t>
  </si>
  <si>
    <t>Date</t>
  </si>
  <si>
    <t>Key Partnerships</t>
  </si>
  <si>
    <t>Key Activities</t>
  </si>
  <si>
    <t>Value Propositions</t>
  </si>
  <si>
    <t>Customer Relationship</t>
  </si>
  <si>
    <t>Customer Segments</t>
  </si>
  <si>
    <t>Key Resources</t>
  </si>
  <si>
    <t>Channels</t>
  </si>
  <si>
    <t>Cost Structure</t>
  </si>
  <si>
    <t>Revenue Streams</t>
  </si>
  <si>
    <t xml:space="preserve"> T H E   B U S I N E S S   M O D E L   C A N V A S</t>
  </si>
  <si>
    <t>T H E   B U S I N E S S   M O D E L   C A N V A S</t>
  </si>
  <si>
    <t>T H E   B U S I N E S S    M O D E L   C A N V A S</t>
  </si>
  <si>
    <t>Entwickelt für:</t>
  </si>
  <si>
    <t>Conçu pour:</t>
  </si>
  <si>
    <t>Creato per:</t>
  </si>
  <si>
    <t>Entwickelt von:</t>
  </si>
  <si>
    <t>Conçu par:</t>
  </si>
  <si>
    <t>Creato da:</t>
  </si>
  <si>
    <t>Aktualisiert am:</t>
  </si>
  <si>
    <t>Mis à jour le :</t>
  </si>
  <si>
    <t>Aggiornato in data:</t>
  </si>
  <si>
    <t xml:space="preserve">Was bieten Sie den Kunden an? </t>
  </si>
  <si>
    <t>Qu’offrez vous aux clients ?</t>
  </si>
  <si>
    <t>Che cosa offrite ai clienti?</t>
  </si>
  <si>
    <t>Welche Produkte wünschen sie wirklich?</t>
  </si>
  <si>
    <t>Quels sont les produits qu’ils désirent véritablement ?</t>
  </si>
  <si>
    <t>Quali prodotti desiderano veramente?</t>
  </si>
  <si>
    <t>Sind sie interessiert?</t>
  </si>
  <si>
    <t>Sont-ils intéressés ?</t>
  </si>
  <si>
    <t>Sono interessati?</t>
  </si>
  <si>
    <t>Welche Beziehungen bauen Sie mit den einzelnen Kundensegmenten auf? persönlich? virtuell? zurückhaltend? etc.</t>
  </si>
  <si>
    <t>Quelles sont les relations que vous souhaitez entretenir avec les différents segments de clients ? Relations personnelles ? Virtuelles ? Réservées ? etc.</t>
  </si>
  <si>
    <t>Che genere di relazioni intrattenete con i vari segmenti di clientela? Relazioni personali? Virtuali? Confidenziali? Ecc.</t>
  </si>
  <si>
    <t xml:space="preserve"> </t>
  </si>
  <si>
    <t>Wie erreichen Sie den Kunden?</t>
  </si>
  <si>
    <t>Comment atteindre le client ?</t>
  </si>
  <si>
    <t>Come raggiungete i clienti?</t>
  </si>
  <si>
    <t>Wer sind die Kunden?</t>
  </si>
  <si>
    <t>Qui sont nos clients ?</t>
  </si>
  <si>
    <t>Chi sono i clienti?</t>
  </si>
  <si>
    <t>Was sind ihre Bedürfnisse?</t>
  </si>
  <si>
    <t>Quels sont leurs besoins ?</t>
  </si>
  <si>
    <t>Quali sono le loro esigenze?</t>
  </si>
  <si>
    <t>Was sind die Kunden bereit zu zahlen? Wie will der Kunde bezahlen? Wie werden Einnahmen generiert?</t>
  </si>
  <si>
    <t>Quel montant le client est-il d’accord de payer ? Comment le client veut-il payer ? Comment générer des rentrées ?</t>
  </si>
  <si>
    <t>Quanto sono disposti a pagare i clienti? Come preferiscono pagare i clienti? Come generare entrate?</t>
  </si>
  <si>
    <t xml:space="preserve">Wie möchten die Kunden beliefert werden? </t>
  </si>
  <si>
    <t xml:space="preserve">Comment les clients souhaitent-ils être fournis ? </t>
  </si>
  <si>
    <t xml:space="preserve">Come vogliono essere forniti i clienti? </t>
  </si>
  <si>
    <t>Welche Distributionskanäle?</t>
  </si>
  <si>
    <t>Quels sont les canaux de distribution ?</t>
  </si>
  <si>
    <t>Quali sono i canali di distribuzione?</t>
  </si>
  <si>
    <t>Welche Kernkompetenzen sind nötig?</t>
  </si>
  <si>
    <t>Quelles sont les compétences clés indispensables?</t>
  </si>
  <si>
    <t>Quali competenze chiave sono indispensabili?</t>
  </si>
  <si>
    <t>Welche Ressourcen sind unbedingt nötig?</t>
  </si>
  <si>
    <t>Quelles sont les ressources indispensables?</t>
  </si>
  <si>
    <t>Quali risorse sono indispensabili?</t>
  </si>
  <si>
    <t>Welche Trümpfe habe ich?</t>
  </si>
  <si>
    <t>Quels sont mes « atouts » ?</t>
  </si>
  <si>
    <t>Quali sono i miei "atout" ?</t>
  </si>
  <si>
    <t xml:space="preserve">Welche Partner und Lieferanten bringen mir einen Mehrwert? </t>
  </si>
  <si>
    <t xml:space="preserve">Quels sont les partenaires et les fournisseurs qui m’apportent une plus-value ? </t>
  </si>
  <si>
    <t xml:space="preserve">Quali partner e fornitori mi garantiscono un plusvalore? </t>
  </si>
  <si>
    <t>Von wem bin ich abhängig?</t>
  </si>
  <si>
    <t>De qui suis-je dépendant ?</t>
  </si>
  <si>
    <t>Da chi dipendo?</t>
  </si>
  <si>
    <t>Was ist die Kostenstruktur? Welche Kernelemente verursachen die höchsten Kosten?</t>
  </si>
  <si>
    <t>Quelle est la structure des coûts ? Quels sont les éléments clés qui génèrent le plus de coûts ?</t>
  </si>
  <si>
    <t>Qual è la struttura dei costi? Quali sono gli elementi chiave che generano i costi maggiori?</t>
  </si>
  <si>
    <t xml:space="preserve">Welches sind meine Kernaktivitäten? </t>
  </si>
  <si>
    <t>Quelles sont mes activités principales ?</t>
  </si>
  <si>
    <t>Quali sono le mie principali attività?</t>
  </si>
  <si>
    <t xml:space="preserve">Welche Expertise brauche ich? </t>
  </si>
  <si>
    <t>Quelle est l’expertise nécessaire ?</t>
  </si>
  <si>
    <t>Quali competenze mi servono?</t>
  </si>
  <si>
    <t>Was ist unverzichtbar?</t>
  </si>
  <si>
    <t>Qu’est-ce qui est indispensable ?</t>
  </si>
  <si>
    <t>Che cosa è indispensabile?</t>
  </si>
  <si>
    <t>C A N V A S :  S T Ä R K E N   &amp;   S C H W Ä C H E N</t>
  </si>
  <si>
    <t>C A N V A S :   F O R C E S   &amp;   F A I B L E S S E S</t>
  </si>
  <si>
    <t>C A N V A S :   S T R E N G T H   &amp;   W E A K N E S S E S</t>
  </si>
  <si>
    <t>Unsere Wertangebote (Value Proposition) entsprechen den Bedürfnissen der Kunden</t>
  </si>
  <si>
    <t>Our Value Propositions are well aligned with customer needs</t>
  </si>
  <si>
    <t>Unsere Wertangebote haben einen grossen Einfluss auf unser  Networking</t>
  </si>
  <si>
    <t>Our Value Propositions have strong network effects</t>
  </si>
  <si>
    <t>Es bestehen grosse Synergien zwischen unseren Produkten und unseren Dienstleistungen</t>
  </si>
  <si>
    <t>Il existe des synergies fortes entre nos produits et nos services</t>
  </si>
  <si>
    <t>Unsere Kunden sind  zufrieden</t>
  </si>
  <si>
    <t>Nos clients sont satisfaits</t>
  </si>
  <si>
    <t>Our customer are satisfied</t>
  </si>
  <si>
    <t>We benefit from strong margins</t>
  </si>
  <si>
    <t>Our revenues are predictable</t>
  </si>
  <si>
    <t>We have recurring Revenue Streams and frequent repeat purchases</t>
  </si>
  <si>
    <t>Our Revenue Streams are diversified</t>
  </si>
  <si>
    <t>Our Revenue Streams are sustainable</t>
  </si>
  <si>
    <t>We collect revenues before we incur expenses</t>
  </si>
  <si>
    <t>We charge for what customers are really willing to pay for</t>
  </si>
  <si>
    <t>Our pricing mechanismes capture full willingness to pay</t>
  </si>
  <si>
    <t>Our costs are predictable</t>
  </si>
  <si>
    <t>Our Cost Structure is correctly matched to our business model</t>
  </si>
  <si>
    <t>Unsere Aktivitäten sind Kosteneffizient</t>
  </si>
  <si>
    <t>Nos activités sont efficace par rapport aux coûts</t>
  </si>
  <si>
    <t>Our operations are cost-efficient</t>
  </si>
  <si>
    <t>We benefit from economies of scale</t>
  </si>
  <si>
    <t>Customer churn rates are low</t>
  </si>
  <si>
    <t>Customer base is well segmented</t>
  </si>
  <si>
    <t>We are continuously acquiring new customers</t>
  </si>
  <si>
    <t>Unsere Vertriebskanäle sind effizient</t>
  </si>
  <si>
    <t xml:space="preserve">Nos canaux de distribution sont efficients </t>
  </si>
  <si>
    <t>Our Channels are efficient</t>
  </si>
  <si>
    <t>Unsere Vertriebskanäle sind wirksam (effektiv)</t>
  </si>
  <si>
    <t>Nos canaux de distribution sont efficaces (effective)</t>
  </si>
  <si>
    <t>Our Channels are effective</t>
  </si>
  <si>
    <t>Die Penetration (Reichweite) der Vertriebskanäle ist gut</t>
  </si>
  <si>
    <t>Channel reach ist strong among customers</t>
  </si>
  <si>
    <t>Customers can easily see our Channels</t>
  </si>
  <si>
    <t>Channels are strongly integrated</t>
  </si>
  <si>
    <t xml:space="preserve">Mit den Vertriebskanäle können Synergien und Kostenvorteile realisiert werden (economies of scope, Verbundvorteile) </t>
  </si>
  <si>
    <t>Channels provide economies of scope</t>
  </si>
  <si>
    <t>Die Vertriebskanäle sind auf die Kundensegmente abgestimmt</t>
  </si>
  <si>
    <t>Les canaux de distribution sont  adaptés aux segments clients</t>
  </si>
  <si>
    <t>Channels are matched to Customer Segments</t>
  </si>
  <si>
    <t>Starke Kundenbeziehung</t>
  </si>
  <si>
    <t>Forte relations avec les clients</t>
  </si>
  <si>
    <t>Strong Customer Relationships</t>
  </si>
  <si>
    <t>La qualité de la relation correspond à la segmentation de la clientèle</t>
  </si>
  <si>
    <t>Relationship quality matches Customers Segements</t>
  </si>
  <si>
    <t>Die Kundenbindung ist so stark, dass ein Wechsel hohe Kosten für den Kunden bringt</t>
  </si>
  <si>
    <t>Les relations avec les clients sont forte. Pour le client, un changement a des coûts élevés</t>
  </si>
  <si>
    <t>Relationship bind customers through high switching costs</t>
  </si>
  <si>
    <t>Our brand is strong</t>
  </si>
  <si>
    <t>Our Key Resources are difficulte for competitiors to replicate</t>
  </si>
  <si>
    <t>Resource needs are predictable</t>
  </si>
  <si>
    <t>Wir setzen die unsere Kernressourcen zum richtigen Zeitpunkt und in der richtigen Menge ein</t>
  </si>
  <si>
    <t>Nous savons déployer nos ressources clés au bon moment et dans les bonnes quantités</t>
  </si>
  <si>
    <t>We deploy Key Resources in the right amount at the right time</t>
  </si>
  <si>
    <t>We efficiently execute Key Activities</t>
  </si>
  <si>
    <t>Our Key Activities are difficult to copy</t>
  </si>
  <si>
    <t>Execution quality is high</t>
  </si>
  <si>
    <t>Balance of in-house versus outsourced execution is ideal</t>
  </si>
  <si>
    <t>Wir sind Partnerorientiert und arbeiten falls notwendig mit ihnen zusammen.</t>
  </si>
  <si>
    <t>We are focused and work with partners when necessary</t>
  </si>
  <si>
    <t>We enjoy good working relationships with Key Partners</t>
  </si>
  <si>
    <t>Auswirkung 
(1 - 10)</t>
  </si>
  <si>
    <t>SW</t>
  </si>
  <si>
    <t>OT</t>
  </si>
  <si>
    <t>C A N V A S : C H A N C E N   &amp;   G E F A H R E N</t>
  </si>
  <si>
    <t>C A N V A S : O P P O R T U N I T É S   &amp;  D A N G E R S</t>
  </si>
  <si>
    <t>We generate recurring revenues by converting products into services</t>
  </si>
  <si>
    <t xml:space="preserve">Wir integrieren unsere Produkte und Dienstleistungen </t>
  </si>
  <si>
    <t>Nous intégrons nos produits ou services</t>
  </si>
  <si>
    <t>We integrate our products or services</t>
  </si>
  <si>
    <t>Wir befriedigen zusätzliche Kundenbedürfnisse</t>
  </si>
  <si>
    <t>Nous satisfaisons les besoins supplémentaires de nos clients</t>
  </si>
  <si>
    <t>We satisfy additional customer needs</t>
  </si>
  <si>
    <t>Es gibt Ergänzungen oder mögliche Erweiterungen für unsere Wertangebote (Value Propositions)</t>
  </si>
  <si>
    <t>A complement or  extensions of our Value Proposition is possible</t>
  </si>
  <si>
    <t>Wir können unserer Kunden zusätzliche Dienstleistungen anbieten</t>
  </si>
  <si>
    <t>We could do other jobs on behalf of our customers</t>
  </si>
  <si>
    <t>There are substitute products and services available</t>
  </si>
  <si>
    <t>Wettbewerber können den Kunden tiefere Preise und Mehrwert anbieten</t>
  </si>
  <si>
    <t>Competitors are threatening to offer better prices or value</t>
  </si>
  <si>
    <t>Wir können einmalige Umsätze  durch wiederkehrenden Einkommen ersetzen</t>
  </si>
  <si>
    <t>We can replace one-time transaction revenues with recurring revenues</t>
  </si>
  <si>
    <t>Our customers are willing to pay for other elements</t>
  </si>
  <si>
    <t>Wir haben Cross-Selling-Möglichkeit intern oder mit Partner zu tätigen</t>
  </si>
  <si>
    <t>We have cross-selling opportunities either internally or with partners</t>
  </si>
  <si>
    <t>We can add or create other Revenue Streams</t>
  </si>
  <si>
    <t>We can increase prices</t>
  </si>
  <si>
    <t>Unsere Margen sind durch Konkurrenten und/oder neuen Technologien gefährdet</t>
  </si>
  <si>
    <t>Our margins are threatened by competitors and/or by new technology</t>
  </si>
  <si>
    <t>Nous dépendons d'un ou de plusieurs flux de revenus</t>
  </si>
  <si>
    <t>We depend on one or more Revenues Streams</t>
  </si>
  <si>
    <t>There are Revenue Streams which are likely to disappear in the future</t>
  </si>
  <si>
    <t>We can reduce costs</t>
  </si>
  <si>
    <t>Some costs threaten to become unpredictable</t>
  </si>
  <si>
    <t>Some costs threaten to grow more quickly than the revenues they support</t>
  </si>
  <si>
    <t>Wir können von einem wachsenden Markt profitieren</t>
  </si>
  <si>
    <t>Nous pourrions bénéficier d'un marché en pleine croissance</t>
  </si>
  <si>
    <t>We can benefit from a growing market</t>
  </si>
  <si>
    <t>We can serve new Customer Segments</t>
  </si>
  <si>
    <t xml:space="preserve">We can better serve our customer through finer segmentation </t>
  </si>
  <si>
    <t>Our market will be saturated soon</t>
  </si>
  <si>
    <t>Our competitors are threatening our market share</t>
  </si>
  <si>
    <t>It is likely that we loose customers</t>
  </si>
  <si>
    <t>It is likely that customers are to defect</t>
  </si>
  <si>
    <t>La concurrence risque de s'intensifier sur notre marché</t>
  </si>
  <si>
    <t>Competition will intensify in our market</t>
  </si>
  <si>
    <t>Wir können die Effizienz und Effektivität unserer Vertriebskanäle verbessern</t>
  </si>
  <si>
    <t>Nous pourrions améliorer l'efficacité et l'efficience de nos canaux de distribution</t>
  </si>
  <si>
    <t>We can improve channel efficiency and effectiveness</t>
  </si>
  <si>
    <t>Wir können unserer Vertriebskanäle besser integrieren</t>
  </si>
  <si>
    <t>We can better integrate our Channels</t>
  </si>
  <si>
    <t>Wir können zusätzliche Partner-Vertriebskanäle finden</t>
  </si>
  <si>
    <t>We can find new complementary partner Channels</t>
  </si>
  <si>
    <t>We can increase margins by directly serving customers</t>
  </si>
  <si>
    <t>Wir können die Vertriebskanälen besser mit den Kundensegmenten abstimmen</t>
  </si>
  <si>
    <t>We can better align Channels with Customer Segments</t>
  </si>
  <si>
    <t>Competitors threaten our Channels</t>
  </si>
  <si>
    <t>Unsere Vertriebswege laufen Gefahr irrelevant für unsere Kunden zu werden.</t>
  </si>
  <si>
    <t>Our Channels are in danger of becoming irrelevant to customers</t>
  </si>
  <si>
    <t>There is potential to improve customer follow-up</t>
  </si>
  <si>
    <t>We can tighten our relationships with customers</t>
  </si>
  <si>
    <t>Wir können die Kundenpersonifizierung verbessern</t>
  </si>
  <si>
    <t>We can improve personalization</t>
  </si>
  <si>
    <t>Wir können für den Kunden die Kosten beim Wechsel zur Konkurrenz erhöhen (switching costs)</t>
  </si>
  <si>
    <t xml:space="preserve">Nous pourrions augmenter pour le client les coûts de changement vers un concurrent (switching costs) </t>
  </si>
  <si>
    <t>We can increase switching costs for  customers</t>
  </si>
  <si>
    <t>We have identified and "fired" unprofitable customers</t>
  </si>
  <si>
    <t>We have automate some relationships</t>
  </si>
  <si>
    <t>Some of our Customer Relationships are in danger of deteriorating</t>
  </si>
  <si>
    <t>We can use less costly resources to achieve the same results</t>
  </si>
  <si>
    <t>Wir besitzen Kernressourcen, die von unseren Partnern bezogen werden könnten</t>
  </si>
  <si>
    <t>Nous avons des ressources clés qui pourront être procuré auprès de partenaires</t>
  </si>
  <si>
    <t>Which Key Resources could be  sourced from partners</t>
  </si>
  <si>
    <t>Some Key Resources are under-exploited</t>
  </si>
  <si>
    <t>We have unused intellectual property of value to others</t>
  </si>
  <si>
    <t>We face a disruption in the supply of certain resources</t>
  </si>
  <si>
    <t>The quality of our resources are threatened</t>
  </si>
  <si>
    <t>We can standardize some Key Activities</t>
  </si>
  <si>
    <t>We can improve efficiency in general</t>
  </si>
  <si>
    <t>IT can support boost efficiency</t>
  </si>
  <si>
    <t>Des activités clés pourraient être perturbées</t>
  </si>
  <si>
    <t>Some Key Activities might be disrupted</t>
  </si>
  <si>
    <t>The quality of our activities are threatened</t>
  </si>
  <si>
    <t>Es bestehen Möglichkeiten zum Outsourcing</t>
  </si>
  <si>
    <t>Des opportunités d'externationalisation (outsourcing) existent</t>
  </si>
  <si>
    <t>There are outsourcing opportunities</t>
  </si>
  <si>
    <t>Une collaboration plus étroite avec nos partenaires nous aiderait à nous concentrer sur nos activités clés</t>
  </si>
  <si>
    <t>Greater collaboration with partners could help us focus on our core business</t>
  </si>
  <si>
    <t>There are cross-selling opportunities with partners</t>
  </si>
  <si>
    <t>Partner Channels help us reach better our customer</t>
  </si>
  <si>
    <t>Unsere Partner könnten unser Werteangebot (value proposition) vervollständigen</t>
  </si>
  <si>
    <t>Partner could complement our Value Proposition</t>
  </si>
  <si>
    <t>We are in danger of losing any partners</t>
  </si>
  <si>
    <t>Our partners might collaborate with competitors</t>
  </si>
  <si>
    <t>We dependent to much on certain partners</t>
  </si>
  <si>
    <t>Comments</t>
  </si>
  <si>
    <t xml:space="preserve"> from</t>
  </si>
  <si>
    <t>Summary</t>
  </si>
  <si>
    <t>C O N S U M E R   T R E N D   C A N V A S</t>
  </si>
  <si>
    <t>Basic Needs</t>
  </si>
  <si>
    <t>Drivers of Change</t>
  </si>
  <si>
    <t>Emerging Consumer Expectations</t>
  </si>
  <si>
    <t>Inspiration</t>
  </si>
  <si>
    <t>Innovation Potential</t>
  </si>
  <si>
    <t>Who</t>
  </si>
  <si>
    <t>YOUR INNOVATION(S!)</t>
  </si>
  <si>
    <t>Trend:</t>
  </si>
  <si>
    <t>What deep consumer needs &amp; desires does this trend address?</t>
  </si>
  <si>
    <t>Why is this trend emerging now? What’s changing?</t>
  </si>
  <si>
    <t>Shifts: Long-term, widespread macro changes</t>
  </si>
  <si>
    <t>Triggers: Recent, short-term changes or technologies</t>
  </si>
  <si>
    <t>What new consumer needs, wants and expectations are created by the changes identified above? Where and how does this trend satisfy them?</t>
  </si>
  <si>
    <t>How are other businesses applying this trend?</t>
  </si>
  <si>
    <t>How and where could you apply this trend to your business?</t>
  </si>
  <si>
    <t>Which (new) customer groups could you apply this trend to? What would you have to change?</t>
  </si>
  <si>
    <t>Anz. &gt;= 3</t>
  </si>
  <si>
    <t>Nbr. &gt;= 3</t>
  </si>
  <si>
    <t>Num. &gt;= 3</t>
  </si>
  <si>
    <t>People</t>
  </si>
  <si>
    <t>Process</t>
  </si>
  <si>
    <t>Product</t>
  </si>
  <si>
    <t>Cause 1</t>
  </si>
  <si>
    <t>Cause 2</t>
  </si>
  <si>
    <t>Problem</t>
  </si>
  <si>
    <t>Management</t>
  </si>
  <si>
    <t>Equipement</t>
  </si>
  <si>
    <t>Environement</t>
  </si>
  <si>
    <t>Competition</t>
  </si>
  <si>
    <t>Concorrenza</t>
  </si>
  <si>
    <t>N.</t>
  </si>
  <si>
    <t>Remarks</t>
  </si>
  <si>
    <t>Osservazioni</t>
  </si>
  <si>
    <t>Quality</t>
  </si>
  <si>
    <t>R I S K   M A N A G E M E N T</t>
  </si>
  <si>
    <t>G E S T I O N E   D E L   R I S C H I O</t>
  </si>
  <si>
    <t>Probability of occurrence</t>
  </si>
  <si>
    <t>Probabilità di accadimento</t>
  </si>
  <si>
    <t>High</t>
  </si>
  <si>
    <t>elevata</t>
  </si>
  <si>
    <t>Medium</t>
  </si>
  <si>
    <t>media</t>
  </si>
  <si>
    <t>Low</t>
  </si>
  <si>
    <t>bassa</t>
  </si>
  <si>
    <t>Extent of damage</t>
  </si>
  <si>
    <t>Entità dei danni</t>
  </si>
  <si>
    <t>No need for action</t>
  </si>
  <si>
    <t>Nessun intervento necessario</t>
  </si>
  <si>
    <t>Need for action</t>
  </si>
  <si>
    <t>Intervento necessario</t>
  </si>
  <si>
    <t>Urgent need for action</t>
  </si>
  <si>
    <t>Intervento urgente</t>
  </si>
  <si>
    <t>Risk</t>
  </si>
  <si>
    <t>Rischio</t>
  </si>
  <si>
    <t>Consequences</t>
  </si>
  <si>
    <t>Impatto</t>
  </si>
  <si>
    <t>Ten-
denza</t>
  </si>
  <si>
    <t>Possible measures</t>
  </si>
  <si>
    <t>Misure possibili</t>
  </si>
  <si>
    <t>Statuto</t>
  </si>
  <si>
    <t>Extent of consequences</t>
  </si>
  <si>
    <t>Entità dell'impatto</t>
  </si>
  <si>
    <t>Compared objects</t>
  </si>
  <si>
    <t>Oggetti di paragone</t>
  </si>
  <si>
    <t>Us</t>
  </si>
  <si>
    <t>Noi</t>
  </si>
  <si>
    <t>S W O T   A N A L Y S I S</t>
  </si>
  <si>
    <t xml:space="preserve">A N A L I S I   S W O T </t>
  </si>
  <si>
    <t>Strengths / Weaknesses -&gt; internal factors</t>
  </si>
  <si>
    <t>Punti di forza / debolezza -&gt; fattori interni</t>
  </si>
  <si>
    <t>Strengths / weaknesses</t>
  </si>
  <si>
    <t>Punti di forza / debolezza</t>
  </si>
  <si>
    <t>Opportunities / Threats</t>
  </si>
  <si>
    <t>Opportunità / Minacce</t>
  </si>
  <si>
    <t>Emphasis</t>
  </si>
  <si>
    <t>Ponderazione</t>
  </si>
  <si>
    <t>Opportunities / Threats -&gt; external factors</t>
  </si>
  <si>
    <t>Opportunità / Minacce -&gt; fattori esterni</t>
  </si>
  <si>
    <t>Strengths</t>
  </si>
  <si>
    <t>Punti di forza</t>
  </si>
  <si>
    <t>Weaknesses</t>
  </si>
  <si>
    <t>Punti di debolezza</t>
  </si>
  <si>
    <t>Opportunities</t>
  </si>
  <si>
    <t>Opportunità</t>
  </si>
  <si>
    <t>Threats</t>
  </si>
  <si>
    <t>Minacce</t>
  </si>
  <si>
    <t>totally applies</t>
  </si>
  <si>
    <t>corrisponde perfettamente</t>
  </si>
  <si>
    <t>rather applies</t>
  </si>
  <si>
    <t xml:space="preserve">corrisponde abbastanza </t>
  </si>
  <si>
    <t>partially applies</t>
  </si>
  <si>
    <t xml:space="preserve">corrisponde parzialmente </t>
  </si>
  <si>
    <t>rather doesn't applies</t>
  </si>
  <si>
    <t>corrisponde poco</t>
  </si>
  <si>
    <t>does not applie at all</t>
  </si>
  <si>
    <t>non corrisponde per nulla</t>
  </si>
  <si>
    <t xml:space="preserve">Il valore da noi creato corrisponde alle esigenze dei nostri clienti </t>
  </si>
  <si>
    <t>Il valore da noi creato ha un forte impatto sulla rete (networking)</t>
  </si>
  <si>
    <t>There are synergies between our products and services</t>
  </si>
  <si>
    <t xml:space="preserve">Sussistono sinergie tra i nostri prodotti e servizi </t>
  </si>
  <si>
    <t xml:space="preserve">I nostri clienti sono soddisfatti </t>
  </si>
  <si>
    <t xml:space="preserve">I nostri margini sono elevati </t>
  </si>
  <si>
    <t>I nostri ricavi sono prevedibili</t>
  </si>
  <si>
    <t xml:space="preserve">Abbiamo entrate ricorrenti e frequenti acquisti ripetuti </t>
  </si>
  <si>
    <t>I nostri flussi di entrate sono diversificati</t>
  </si>
  <si>
    <t>I nostri flussi di entrate sono durevoli</t>
  </si>
  <si>
    <t>Incassiamo ciò che ci spetta prima di effettuare nuove spese</t>
  </si>
  <si>
    <t>L’importo delle nostre fatture corrisponde alla cifra che il cliente è disposto a pagare</t>
  </si>
  <si>
    <t>I nostri prezzi sono strutturati in base a quanto il cliente è disposto a pagare</t>
  </si>
  <si>
    <t>I nostri costi sono prevedibili</t>
  </si>
  <si>
    <t>La nostra struttura dei costi è perfettamente adattata al nostro modello di business</t>
  </si>
  <si>
    <t>Le nostre attività sono redditizie</t>
  </si>
  <si>
    <t>Beneficiamo di economie di scala</t>
  </si>
  <si>
    <t>Il tasso di fluttuazione della clientela è basso</t>
  </si>
  <si>
    <t>La segmentazione della clientela è buona</t>
  </si>
  <si>
    <t xml:space="preserve">Acquisiamo regolarmente nuovi clienti </t>
  </si>
  <si>
    <t xml:space="preserve">I nostri canali di distribuzione sono molto efficaci </t>
  </si>
  <si>
    <t>I nostri canali di distribuzione sono redditizi</t>
  </si>
  <si>
    <t>La penetrazione dei canali di distribuzione è buona</t>
  </si>
  <si>
    <t>I nostri canali di distribuzione vengono facilmente identificati dai nostri clienti</t>
  </si>
  <si>
    <t>I canali di distribuzione sono fortemente integrati</t>
  </si>
  <si>
    <t>I canali di distribuzione permettono di generare sinergie e di risparmiare sui costi (economies of scope)</t>
  </si>
  <si>
    <t>I canali di distribuzione sono perfettamente adattati ai segmenti della clientela</t>
  </si>
  <si>
    <t>Le relazioni con i clienti sono molto solide</t>
  </si>
  <si>
    <t xml:space="preserve">La qualità della relazione corrisponde alla segmentazione della clientela </t>
  </si>
  <si>
    <t>Le relazioni con i clienti sono di natura tale da generare costi elevati in caso di cambiamento</t>
  </si>
  <si>
    <t>Il nostro marchio è forte</t>
  </si>
  <si>
    <t xml:space="preserve">Le nostre risorse più importanti sono difficili da riprodurre per la concorrenza </t>
  </si>
  <si>
    <t>Il fabbisogno di risorse è prevedibile</t>
  </si>
  <si>
    <t>Sappiamo mobilitare le risorse giuste al momento giusto e nella quantità giusta</t>
  </si>
  <si>
    <t>Svolgiamo le nostre attività chiave con efficacia</t>
  </si>
  <si>
    <t xml:space="preserve">Le nostre attività chiave sono difficilmente copiabili </t>
  </si>
  <si>
    <t>La qualità di attuazione è elevata</t>
  </si>
  <si>
    <t xml:space="preserve">L’equilibrio tra attività interne e subappaltate è ideale </t>
  </si>
  <si>
    <t xml:space="preserve">Crediamo nel partenariato e se necessario collaboriamo con i nostri partner </t>
  </si>
  <si>
    <t xml:space="preserve">Collaboriamo con piacere con i nostri partner più importanti </t>
  </si>
  <si>
    <t>Impatto (1 - 10)</t>
  </si>
  <si>
    <t>Domande:</t>
  </si>
  <si>
    <t>Impatto:</t>
  </si>
  <si>
    <t>Totale punti:</t>
  </si>
  <si>
    <t xml:space="preserve">di </t>
  </si>
  <si>
    <t>Riassunto</t>
  </si>
  <si>
    <t>C A N V A S : O P P O R T U N I T I E S   &amp;  T H R E A T S</t>
  </si>
  <si>
    <t>C A N V A S: O P P O R T U N I T À   &amp;   P E R I C O L I</t>
  </si>
  <si>
    <t>Possiamo generare ricavi ricorrenti convertendo prodotti in servizi</t>
  </si>
  <si>
    <t>Possiamo integrare meglio i nostri prodotti o servizi</t>
  </si>
  <si>
    <t>Possiamo soddisfare altre esigenze dei nostri clienti</t>
  </si>
  <si>
    <t>Ci sono complementi o possibili estensioni che creano un valore supplementare</t>
  </si>
  <si>
    <t xml:space="preserve">Possiamo offrire altre prestazioni ai nostri clienti </t>
  </si>
  <si>
    <t xml:space="preserve">Sono disponibili prodotti e servizi sostitutivi </t>
  </si>
  <si>
    <t>I concorrenti possono offrire ai clienti più valore e prezzi più bassi</t>
  </si>
  <si>
    <t xml:space="preserve">Possiamo generare puntualmente fatturato da transazioni partendo da entrate ricorrenti </t>
  </si>
  <si>
    <t>I nostri clienti sono disposti a pagare per prodotti o servizi supplementari</t>
  </si>
  <si>
    <t xml:space="preserve">Abbiamo la possibilità di effettuare vendite trasversali internamente o con partner </t>
  </si>
  <si>
    <t>Possiamo aggiungere o creare flussi di entrate supplementari</t>
  </si>
  <si>
    <t>Possiamo aumentare i prezzi</t>
  </si>
  <si>
    <t xml:space="preserve">I nostri margini sono messi sotto pressione dalla concorrenza e/o dalle nuove tecnologie </t>
  </si>
  <si>
    <t>Siamo troppo dipendenti da uno o più flussi di entrate</t>
  </si>
  <si>
    <t xml:space="preserve">Abbiamo dei flussi di entrate destinati ben presto ad esaurirsi </t>
  </si>
  <si>
    <t>Possiamo ridurre i nostri costi</t>
  </si>
  <si>
    <t>Determinati costi rischiano di diventare incalcolabili</t>
  </si>
  <si>
    <t xml:space="preserve">Determinati costi minacciano di aumentare più rapidamente delle corrispondenti entrate </t>
  </si>
  <si>
    <t>Possiamo beneficiare di un mercato in piena crescita/espansione</t>
  </si>
  <si>
    <t xml:space="preserve">Possiamo servire nuovi segmenti di clientela </t>
  </si>
  <si>
    <t>Grazie a una segmentazione più capillare, possiamo assistere meglio i nostri clienti</t>
  </si>
  <si>
    <t>Il nostro mercato rischia di essere ben presto saturo</t>
  </si>
  <si>
    <t>I nostri concorrenti minacciano le nostre quote di mercato</t>
  </si>
  <si>
    <t>Potremmo perdere i nostri clienti</t>
  </si>
  <si>
    <t>C'è il rischio che i nostri clienti non possano pagare entro i termini stabiliti</t>
  </si>
  <si>
    <t xml:space="preserve">La concorrenza rischia di intensificarsi rapidamente sul nostro mercato  </t>
  </si>
  <si>
    <t xml:space="preserve">Possiamo migliorare l'efficienza, l'efficacia, la redditività e le prestazioni dei nostri canali  </t>
  </si>
  <si>
    <t>Possiamo migliorare l'integrazione dei nostri canali di distribuzione</t>
  </si>
  <si>
    <t xml:space="preserve">Possiamo trovare nuovi canali di distribuzione </t>
  </si>
  <si>
    <t xml:space="preserve">Possiamo aumentare i nostri margini servendo direttamente i nostri clienti </t>
  </si>
  <si>
    <t xml:space="preserve">Possiamo migliorare la conformità dei canali e dei segmenti della clientela </t>
  </si>
  <si>
    <t xml:space="preserve">I nostri concorrenti minacciano i nostri canali di distribuzione </t>
  </si>
  <si>
    <t xml:space="preserve">I nostri canali di distribuzione potrebbero non più essere pertinenti/adatti ai nostri clienti </t>
  </si>
  <si>
    <t>L'assistenza alla clientela può essere migliorata</t>
  </si>
  <si>
    <t>Possiamo intensificare le relazioni con i nostri clienti</t>
  </si>
  <si>
    <t>Possiamo migliorare la personalizzazione</t>
  </si>
  <si>
    <t>Possiamo aumentare i costi di transizione (switching costs)</t>
  </si>
  <si>
    <t>Abbiamo identificato ed "eliminato" i clienti non redditizi</t>
  </si>
  <si>
    <t>Abbiamo automatizzato determinate relazioni</t>
  </si>
  <si>
    <t xml:space="preserve">Le nostre relazioni con i clienti rischiano di deteriorarsi </t>
  </si>
  <si>
    <t>Possiamo utilizzare risorse meno costose per ottenere lo stesso risultato</t>
  </si>
  <si>
    <t>Ci servono risorse chiave più accessibili ai nostri partner</t>
  </si>
  <si>
    <t>Abbiamo risorse chiave sottosfruttate</t>
  </si>
  <si>
    <t xml:space="preserve">Possediamo brevetti o altre invenzioni non utilizzate che potrebbero avere valore per altri </t>
  </si>
  <si>
    <t xml:space="preserve">Rischiamo di essere confrontati a una situazione di penuria per determinate risorse </t>
  </si>
  <si>
    <t>La qualità delle nostre risorse è minacciata</t>
  </si>
  <si>
    <t>Possiamo standardizzare alcune attività chiave</t>
  </si>
  <si>
    <t>Possiamo migliorare in generale la nostra performance</t>
  </si>
  <si>
    <t>Un supporto informatico potrebbe migliorare la nostra performance</t>
  </si>
  <si>
    <t xml:space="preserve">Alcune attività chiave potrebbero essere compromesse </t>
  </si>
  <si>
    <t xml:space="preserve">La qualità delle nostre attività è a rischio </t>
  </si>
  <si>
    <t xml:space="preserve">Esistono opportunità di esternalizzazione  </t>
  </si>
  <si>
    <t>Una maggiore collaborazione con i nostri partner ci aiuterebbe a concentrarci sulle nostre attività primarie</t>
  </si>
  <si>
    <t>Ci sono opportunità di vendite incrociate/associate con i nostri partner</t>
  </si>
  <si>
    <t xml:space="preserve">I canali di distribuzione dei nostri partner potrebbero aiutarci a raggiungere un maggior numero di clienti </t>
  </si>
  <si>
    <t>I nostri partner potrebbero completare la nostra proposta di valore</t>
  </si>
  <si>
    <t>Rischiamo di perdere i nostri partner</t>
  </si>
  <si>
    <t xml:space="preserve">I nostri partner potrebbero collaborare con la concorrenza </t>
  </si>
  <si>
    <t xml:space="preserve">Siamo troppo dipendenti da determinati partner  </t>
  </si>
  <si>
    <t>Internal</t>
  </si>
  <si>
    <t>External</t>
  </si>
  <si>
    <t>Social Media</t>
  </si>
  <si>
    <t>Public relations</t>
  </si>
  <si>
    <t>Diverse</t>
  </si>
  <si>
    <t>Description</t>
  </si>
  <si>
    <t>In %</t>
  </si>
  <si>
    <t>Main strengths</t>
  </si>
  <si>
    <t>Main weaknesses</t>
  </si>
  <si>
    <t>I D E A   C O M P A R I S O N   M A T R I X</t>
  </si>
  <si>
    <t>Idea</t>
  </si>
  <si>
    <t>Criteria</t>
  </si>
  <si>
    <t>Weighting</t>
  </si>
  <si>
    <t>Assessment</t>
  </si>
  <si>
    <t>interno</t>
  </si>
  <si>
    <t>C A U S E - A N D - E F F E C T   D I A G R A M</t>
  </si>
  <si>
    <t>P A R E T O   C H A R T</t>
  </si>
  <si>
    <t>Reasons for the problem</t>
  </si>
  <si>
    <t>Fre-quency</t>
  </si>
  <si>
    <t>Unit</t>
  </si>
  <si>
    <t>Current value</t>
  </si>
  <si>
    <t>Improvement / deterioration</t>
  </si>
  <si>
    <t>absolute</t>
  </si>
  <si>
    <t>Indicator</t>
  </si>
  <si>
    <t>Customers</t>
  </si>
  <si>
    <t>V A R I A N T   R E V I E W</t>
  </si>
  <si>
    <t>P R O C E S S</t>
  </si>
  <si>
    <t>Responsible</t>
  </si>
  <si>
    <t>Updated on:</t>
  </si>
  <si>
    <t>Other process</t>
  </si>
  <si>
    <t>Next page</t>
  </si>
  <si>
    <t>Start/Finish</t>
  </si>
  <si>
    <t>Connection</t>
  </si>
  <si>
    <t>Activity</t>
  </si>
  <si>
    <t>Decision</t>
  </si>
  <si>
    <t>Cont</t>
  </si>
  <si>
    <t>yes</t>
  </si>
  <si>
    <t>no</t>
  </si>
  <si>
    <t>Start</t>
  </si>
  <si>
    <t>End</t>
  </si>
  <si>
    <t>No. process</t>
  </si>
  <si>
    <t>Open documents</t>
  </si>
  <si>
    <t>Would you like to open the program "Management Cockpit"?</t>
  </si>
  <si>
    <t>Please make sure that the file "01_Cockpit.exe" is in the same folder!</t>
  </si>
  <si>
    <t>Volete aprire il programma "Cockpit de gestione"?</t>
  </si>
  <si>
    <t>Assicurarsi che il file  "01_Cockpit.exe" si trova nel stesso direttorio!</t>
  </si>
  <si>
    <t>Would you like to open the program "Balanced Scorecard"?</t>
  </si>
  <si>
    <t>Volete aprire il programma "Balanced Scorecard"?</t>
  </si>
  <si>
    <t xml:space="preserve"> E R R O R   A N A L Y S I S</t>
  </si>
  <si>
    <t>Process / Product / Service</t>
  </si>
  <si>
    <t>Mistake</t>
  </si>
  <si>
    <t>Reasons</t>
  </si>
  <si>
    <t>from:</t>
  </si>
  <si>
    <t>to:</t>
  </si>
  <si>
    <t>C U S T O M E R   C O M P L A I N T S</t>
  </si>
  <si>
    <t>Complaints</t>
  </si>
  <si>
    <t xml:space="preserve">Preventive measures </t>
  </si>
  <si>
    <t>Show everything</t>
  </si>
  <si>
    <t>Filter print</t>
  </si>
  <si>
    <t>Links to documents</t>
  </si>
  <si>
    <t>I N P U T   M A S K</t>
  </si>
  <si>
    <t>Quality strategies</t>
  </si>
  <si>
    <t>Strategic indicators</t>
  </si>
  <si>
    <t>Actual</t>
  </si>
  <si>
    <t>Target</t>
  </si>
  <si>
    <t>achieved</t>
  </si>
  <si>
    <t>red</t>
  </si>
  <si>
    <t>yellow</t>
  </si>
  <si>
    <t>Indicators</t>
  </si>
  <si>
    <t>Projects</t>
  </si>
  <si>
    <t>Link to project</t>
  </si>
  <si>
    <t>Who?</t>
  </si>
  <si>
    <t>Calculation</t>
  </si>
  <si>
    <t>Description/Remarks</t>
  </si>
  <si>
    <t>Time of the survey &amp; Sector comparison</t>
  </si>
  <si>
    <t>I N D I C A T O R S   G O A L S</t>
  </si>
  <si>
    <t>S T R A T E G I C   I N D I C A T O R S</t>
  </si>
  <si>
    <t>S T A K E H O L D E R   A N A L Y S I S</t>
  </si>
  <si>
    <t>Wider environment</t>
  </si>
  <si>
    <t>Contesto ampio</t>
  </si>
  <si>
    <t>Immediate environment</t>
  </si>
  <si>
    <t>Contesto ristretto</t>
  </si>
  <si>
    <t>Frequent contacts</t>
  </si>
  <si>
    <t>Contatti frequenti</t>
  </si>
  <si>
    <t>Regular contacts</t>
  </si>
  <si>
    <t>Contatti regolari</t>
  </si>
  <si>
    <t>Rare contacts</t>
  </si>
  <si>
    <t>Contatti rari</t>
  </si>
  <si>
    <t>alto</t>
  </si>
  <si>
    <t>Big</t>
  </si>
  <si>
    <t>Stakeholder influence</t>
  </si>
  <si>
    <t>Influsso degli stakeholder</t>
  </si>
  <si>
    <t>basso</t>
  </si>
  <si>
    <t>Small</t>
  </si>
  <si>
    <t>piccolo</t>
  </si>
  <si>
    <t>Stakeholder interest</t>
  </si>
  <si>
    <t>Interesse degli stakeholder</t>
  </si>
  <si>
    <t>Stakeholder group</t>
  </si>
  <si>
    <t>Gruppo di stakeholder</t>
  </si>
  <si>
    <t>Interests, expectations</t>
  </si>
  <si>
    <t>Interessi, attese</t>
  </si>
  <si>
    <t>Extent of interests</t>
  </si>
  <si>
    <t>Intensità degli interessi</t>
  </si>
  <si>
    <t>Degree of influence</t>
  </si>
  <si>
    <t>Intensità dell'influsso</t>
  </si>
  <si>
    <t>Chances (+) and 
dangers (-)</t>
  </si>
  <si>
    <t>Opportunità (+) e 
pericoli (-)</t>
  </si>
  <si>
    <t>Size of group</t>
  </si>
  <si>
    <t>Dimensioni del gruppo</t>
  </si>
  <si>
    <t xml:space="preserve">A N A L I S I   D E G L I   S T A K E H O L D E R </t>
  </si>
  <si>
    <t>Developed for:</t>
  </si>
  <si>
    <t>Developed by:</t>
  </si>
  <si>
    <t>What do you offer customers?</t>
  </si>
  <si>
    <t>Which products do you really request?</t>
  </si>
  <si>
    <t>Are you interested?</t>
  </si>
  <si>
    <t>What relationships will you establish with the individual customer segments? Personal? Virtual? Reserved? etc.</t>
  </si>
  <si>
    <t>How do you reach the customer?</t>
  </si>
  <si>
    <t>Who are the customers?</t>
  </si>
  <si>
    <t>What are their requirements?</t>
  </si>
  <si>
    <t>How much are customers prepared to pay? How does the customer wish to pay? How will revenues be generated?</t>
  </si>
  <si>
    <t>How do customers wish deliveries to be effected?</t>
  </si>
  <si>
    <t>Which distribution channels?</t>
  </si>
  <si>
    <t>Which core competences are necessary?</t>
  </si>
  <si>
    <t>Which resources are essential?</t>
  </si>
  <si>
    <t>Which "trumps" do I hold?</t>
  </si>
  <si>
    <t>Which partners and suppliers offer me added value?</t>
  </si>
  <si>
    <t>Who do I depend on?</t>
  </si>
  <si>
    <t>What cost structure is there? Which core elements cause the highest costs?</t>
  </si>
  <si>
    <t>What are my core activities?</t>
  </si>
  <si>
    <t>Which expertise do I need?</t>
  </si>
  <si>
    <t>What is indispensable?</t>
  </si>
  <si>
    <t>Voulez-vous ouvrir le programme "Management stratégique" ?</t>
  </si>
  <si>
    <t>Do you want to open the program "Strategic Management"?</t>
  </si>
  <si>
    <t>Assurez-vous, que le fichier "02_StrategicManagement.exe" se trouve dans le même répertoire !</t>
  </si>
  <si>
    <t>Make sure that the file "02_StrategicManagement.exe" has been put in the same directory!</t>
  </si>
  <si>
    <t>Do you wish to open the program "Business Plan"?</t>
  </si>
  <si>
    <t>Make sure that the file "04_BusinessPlan.exe" has been put in the same directory!</t>
  </si>
  <si>
    <t>Do you want to open the program "Project Management"?</t>
  </si>
  <si>
    <t>Make sure that the file "03_ProjectManagement.exe"  has been put in the same directory!</t>
  </si>
  <si>
    <t>C H A N G E    M A N A G E M E N T</t>
  </si>
  <si>
    <t>G E S T I O N   D U   C H A N G E M E N T</t>
  </si>
  <si>
    <t>Struktur</t>
  </si>
  <si>
    <t>Systeme</t>
  </si>
  <si>
    <t>Kompe-tenzen</t>
  </si>
  <si>
    <t>Kommuni-kation</t>
  </si>
  <si>
    <t>Auftauen (Unfreezing)</t>
  </si>
  <si>
    <t>Stabilisieren (Refreezing)</t>
  </si>
  <si>
    <t>C O C K P I T  C H A N G E   M A N A G E M E N T</t>
  </si>
  <si>
    <t>T A B L E A U   D E   B O R D   G E S T I O N   D U   C H A N G E M E N T</t>
  </si>
  <si>
    <t xml:space="preserve">C H A N G E   M A N A G E M E N T  C O C K P I T   </t>
  </si>
  <si>
    <t>Z I E L E  &amp;  S T R A T E G I E N    C H A N G E   M A N A G E M E N T</t>
  </si>
  <si>
    <t xml:space="preserve">C H A N G E   M A N A G E M E N T   G O A L S   &amp;   S T R A T E G I E S   </t>
  </si>
  <si>
    <t>S T R A T E G I E S  &amp;  O B J E C T I F S   G E S T I O N   D U   C H A N G E M E N T</t>
  </si>
  <si>
    <t>Objectifs</t>
  </si>
  <si>
    <t>Ziele</t>
  </si>
  <si>
    <t>Goals</t>
  </si>
  <si>
    <t>Verändern (Moving)</t>
  </si>
  <si>
    <t>P E R S O N A L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</si>
  <si>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</si>
  <si>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</si>
  <si>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</si>
  <si>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</si>
  <si>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</si>
  <si>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</si>
  <si>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</si>
  <si>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</si>
  <si>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</si>
  <si>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</si>
  <si>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</si>
  <si>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</si>
  <si>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</si>
  <si>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</si>
  <si>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</si>
  <si>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</si>
  <si>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</si>
  <si>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</si>
  <si>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</si>
  <si>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</si>
  <si>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Person oder Gruppe</t>
  </si>
  <si>
    <t>Personne ou groupe</t>
  </si>
  <si>
    <t>Zufriedenheit</t>
  </si>
  <si>
    <t>Bereitschaft zur Erneuerung</t>
  </si>
  <si>
    <t>Erneuerung</t>
  </si>
  <si>
    <t>Verwirrung</t>
  </si>
  <si>
    <t>Verleugnung</t>
  </si>
  <si>
    <t>Motivation</t>
  </si>
  <si>
    <t>Leadership</t>
  </si>
  <si>
    <t>Group 2</t>
  </si>
  <si>
    <t>C H A N G E   I S   A   P R O C E S S   N O T    A N   E V E N T</t>
  </si>
  <si>
    <t>« Überlebenskrise » als Auslöser
Geringe Partizipation der MA
Ökonomische Effizienz
radikal
schnell</t>
  </si>
  <si>
    <t>langsam
evolutionär
Soziale Effizienz
Hohe Partizipation der MA
Strategische Krise/Wunsch als Auslöser</t>
  </si>
  <si>
    <t>A N P A S S U N G   D E R   P R O Z E S S E</t>
  </si>
  <si>
    <t>A D A P T E R   L E S   P R O C E S S U S</t>
  </si>
  <si>
    <t>Priorität</t>
  </si>
  <si>
    <t>Priorité</t>
  </si>
  <si>
    <t>Anpassungen</t>
  </si>
  <si>
    <t>Adaptations</t>
  </si>
  <si>
    <t>A N P A S S U N G   D E R   S T R U K T U R E N</t>
  </si>
  <si>
    <t>A D A P T E R   L E S   S T R U C T U R E S</t>
  </si>
  <si>
    <t>Stellenbeschrieb</t>
  </si>
  <si>
    <t>Organigramm</t>
  </si>
  <si>
    <t>Verantwortlichkeiten</t>
  </si>
  <si>
    <t>Vision &amp; Strategie</t>
  </si>
  <si>
    <t>Kommunikation</t>
  </si>
  <si>
    <t>Knowledge Management</t>
  </si>
  <si>
    <t>Mitarbeiter- Nutzen</t>
  </si>
  <si>
    <t>A N P A S S U N G   D E R   S Y S T E M E</t>
  </si>
  <si>
    <t>A D A P T E R   L E S   S Y S T È M E S</t>
  </si>
  <si>
    <t>SAP</t>
  </si>
  <si>
    <t>Hardware</t>
  </si>
  <si>
    <t>Internetauftritt</t>
  </si>
  <si>
    <t>Managementinformations-system</t>
  </si>
  <si>
    <t>Software</t>
  </si>
  <si>
    <t>Kern- kompetenzen</t>
  </si>
  <si>
    <t>Compétences clé</t>
  </si>
  <si>
    <t>Core competences</t>
  </si>
  <si>
    <t>Competenze chiave</t>
  </si>
  <si>
    <t>Kernkompetenzen</t>
  </si>
  <si>
    <t>Ressourcen</t>
  </si>
  <si>
    <t>Ressources</t>
  </si>
  <si>
    <t>Resources</t>
  </si>
  <si>
    <t>Risorse</t>
  </si>
  <si>
    <t>Fähigkeiten</t>
  </si>
  <si>
    <t>Compétences</t>
  </si>
  <si>
    <t>Competences</t>
  </si>
  <si>
    <t>Competenze</t>
  </si>
  <si>
    <t>Strategische Wichtigkeit</t>
  </si>
  <si>
    <t>Importance stratégique</t>
  </si>
  <si>
    <t>Stratigic importance</t>
  </si>
  <si>
    <t>Importanza strategica</t>
  </si>
  <si>
    <t xml:space="preserve">
- Wertvoll für den Kunden
- Schwer substituierbar</t>
  </si>
  <si>
    <t xml:space="preserve">
- Précieux pour le client
- Difficile à substituer</t>
  </si>
  <si>
    <t>- Valuable to the customer
- Difficult to substitute</t>
  </si>
  <si>
    <t xml:space="preserve">
- Prezioso per il cliente
- Difficile da sostituire</t>
  </si>
  <si>
    <t>Kernressourcen</t>
  </si>
  <si>
    <t>Ressources clé</t>
  </si>
  <si>
    <t>Core resources</t>
  </si>
  <si>
    <t>Risorse chiave</t>
  </si>
  <si>
    <t>Hauptchancen</t>
  </si>
  <si>
    <t>Chances principales</t>
  </si>
  <si>
    <t>Main opportunities</t>
  </si>
  <si>
    <t xml:space="preserve">Opportunità principali </t>
  </si>
  <si>
    <t>Hauptgefahren</t>
  </si>
  <si>
    <t>Dangers principaux</t>
  </si>
  <si>
    <t>Main dangers</t>
  </si>
  <si>
    <t>Pericoli principali</t>
  </si>
  <si>
    <t xml:space="preserve">Prinicpali punti die forza </t>
  </si>
  <si>
    <t>Principali punti di debolezza</t>
  </si>
  <si>
    <t>Kurz-, mittel, langfristig</t>
  </si>
  <si>
    <t>court, moy., long terme</t>
  </si>
  <si>
    <t>Short , medium, long-term</t>
  </si>
  <si>
    <t>breve medio., a lungo termine</t>
  </si>
  <si>
    <t>Mehrwert für Kunden</t>
  </si>
  <si>
    <t>Added value for customer</t>
  </si>
  <si>
    <t>Più valore per i clienti</t>
  </si>
  <si>
    <t>Schwer substituierbar</t>
  </si>
  <si>
    <t>Difficile à substituer</t>
  </si>
  <si>
    <t>Difficult to substitute</t>
  </si>
  <si>
    <t>Difficile da sostituire</t>
  </si>
  <si>
    <t>sehr</t>
  </si>
  <si>
    <t>très</t>
  </si>
  <si>
    <t>very</t>
  </si>
  <si>
    <t>wenig</t>
  </si>
  <si>
    <t>peu</t>
  </si>
  <si>
    <t>little</t>
  </si>
  <si>
    <t>Competence 1</t>
  </si>
  <si>
    <t>Competence 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</si>
  <si>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</si>
  <si>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</si>
  <si>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</si>
  <si>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</si>
  <si>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</si>
  <si>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</si>
  <si>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</si>
  <si>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</si>
  <si>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</si>
  <si>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</si>
  <si>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</si>
  <si>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</si>
  <si>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Direktion</t>
  </si>
  <si>
    <t>Direction</t>
  </si>
  <si>
    <t>Projektleiter</t>
  </si>
  <si>
    <t>Chef de projet</t>
  </si>
  <si>
    <t>Project manager</t>
  </si>
  <si>
    <t>Koordinator Cockpit</t>
  </si>
  <si>
    <t>Coordinateur Cockpit</t>
  </si>
  <si>
    <t>Coordinator cockpit</t>
  </si>
  <si>
    <t>Zuständige Personen</t>
  </si>
  <si>
    <t>Personnes responsables</t>
  </si>
  <si>
    <t xml:space="preserve">Persons responsible </t>
  </si>
  <si>
    <t>Strategie-klausur</t>
  </si>
  <si>
    <t>Journée stratégique</t>
  </si>
  <si>
    <t>Strategy meeting</t>
  </si>
  <si>
    <t>1-2 x pro Jahr</t>
  </si>
  <si>
    <t>1-2 x par année</t>
  </si>
  <si>
    <t>1-2 times a year</t>
  </si>
  <si>
    <t>Vision &amp; Strategien?</t>
  </si>
  <si>
    <t>Vision &amp; stratégies ?</t>
  </si>
  <si>
    <t>Strategies/vision OK</t>
  </si>
  <si>
    <t>Q-Cockpit ok?</t>
  </si>
  <si>
    <t>Q-Cockpit ok ?</t>
  </si>
  <si>
    <t>Q-cockpit OK?</t>
  </si>
  <si>
    <t xml:space="preserve">Management Review </t>
  </si>
  <si>
    <t>Revue de direction</t>
  </si>
  <si>
    <t>Management review</t>
  </si>
  <si>
    <t>Cockpit ok?</t>
  </si>
  <si>
    <t>Cockpit
 ok ?</t>
  </si>
  <si>
    <t>Cockpit OK?</t>
  </si>
  <si>
    <t>Projektaufträge vergeben</t>
  </si>
  <si>
    <t>Attribuer les mandats de projets</t>
  </si>
  <si>
    <t>Assign project charters</t>
  </si>
  <si>
    <t>Direktions-sitzung</t>
  </si>
  <si>
    <t>Séance de direction</t>
  </si>
  <si>
    <t xml:space="preserve">Management meeting </t>
  </si>
  <si>
    <t>Projekte ok?</t>
  </si>
  <si>
    <t>Projets
 ok ?</t>
  </si>
  <si>
    <t>Projects OK?</t>
  </si>
  <si>
    <t>Projekte aktualisieren</t>
  </si>
  <si>
    <t>Mise à jour des projets</t>
  </si>
  <si>
    <t>Update projects</t>
  </si>
  <si>
    <t>Projekt leiten</t>
  </si>
  <si>
    <t>Gestion du projet</t>
  </si>
  <si>
    <t>Manage projects</t>
  </si>
  <si>
    <t>Korrektur-massnahmen</t>
  </si>
  <si>
    <t>Mesures correctives</t>
  </si>
  <si>
    <t>Corrective measures</t>
  </si>
  <si>
    <t>Projektauftrag aktualisieren</t>
  </si>
  <si>
    <t>Adapter le mandat du projet</t>
  </si>
  <si>
    <t>Update project charter</t>
  </si>
  <si>
    <t>Erinnerungsmail</t>
  </si>
  <si>
    <t>rappel par e-mail</t>
  </si>
  <si>
    <t>Reminder per email</t>
  </si>
  <si>
    <t>Projekte aktuell?</t>
  </si>
  <si>
    <t>Projets à jour?</t>
  </si>
  <si>
    <t>Projects up-to-date?</t>
  </si>
  <si>
    <t>Projekt_?.exe</t>
  </si>
  <si>
    <t>Projet_?.exe</t>
  </si>
  <si>
    <t>Project_?.xls</t>
  </si>
  <si>
    <t>aktualisieren</t>
  </si>
  <si>
    <t>actualiser</t>
  </si>
  <si>
    <t>Update</t>
  </si>
  <si>
    <t>Cockpit aktualisieren</t>
  </si>
  <si>
    <t>Mise à jour du cockpit</t>
  </si>
  <si>
    <t>Update cockpit</t>
  </si>
  <si>
    <t>Projekt-management</t>
  </si>
  <si>
    <t>Gestion de projets</t>
  </si>
  <si>
    <t>Project management</t>
  </si>
  <si>
    <t>Traktanden Strategieklausur</t>
  </si>
  <si>
    <t>Ordre du jour journée stratégique</t>
  </si>
  <si>
    <t>Agenda strategy meeting</t>
  </si>
  <si>
    <t>Traktanden Management Review</t>
  </si>
  <si>
    <t>Ordre du jour revue de direction</t>
  </si>
  <si>
    <t>Agenda management review</t>
  </si>
  <si>
    <t>P2 Strategie-tagung</t>
  </si>
  <si>
    <t>P2 Journée stratégique</t>
  </si>
  <si>
    <t>P2 Strategy conference</t>
  </si>
  <si>
    <t>P3 Mgmt.  Review</t>
  </si>
  <si>
    <t>P3 Revue de direction</t>
  </si>
  <si>
    <t>P3 Mgmt review</t>
  </si>
  <si>
    <t>P4 Direktions-sitzung</t>
  </si>
  <si>
    <t>P4 Séance de direction</t>
  </si>
  <si>
    <t>P4 Directors meeting</t>
  </si>
  <si>
    <t>Traktanden Direktionssitzung</t>
  </si>
  <si>
    <t>Ordre du jour séance de direction</t>
  </si>
  <si>
    <t>Agenda directors' meeting</t>
  </si>
  <si>
    <t>Q-Cockpit aktualisieren</t>
  </si>
  <si>
    <t>Mise à jour du cockpit qualité</t>
  </si>
  <si>
    <t>Update Q-cockpit</t>
  </si>
  <si>
    <t>Bilanz QM</t>
  </si>
  <si>
    <t>Bilan gestion de la qualité</t>
  </si>
  <si>
    <t>Balance sheet quality management</t>
  </si>
  <si>
    <t>Input "Management Review"</t>
  </si>
  <si>
    <t>Input "Revue de direction"</t>
  </si>
  <si>
    <t>Massnahmenplan</t>
  </si>
  <si>
    <t>Plan de mesures</t>
  </si>
  <si>
    <t>Series of measures</t>
  </si>
  <si>
    <t>BSC</t>
  </si>
  <si>
    <t>Projektaufträge</t>
  </si>
  <si>
    <t>Mandats de projets</t>
  </si>
  <si>
    <t>Project charters</t>
  </si>
  <si>
    <t>Aufträge</t>
  </si>
  <si>
    <t>Mandats</t>
  </si>
  <si>
    <t>Contracts</t>
  </si>
  <si>
    <t>2 Wochen vor Sitzung</t>
  </si>
  <si>
    <t>2 semaines avant séance</t>
  </si>
  <si>
    <t>2 weeks before meeting</t>
  </si>
  <si>
    <t>Q-Ziele</t>
  </si>
  <si>
    <t>Objectifs qual.</t>
  </si>
  <si>
    <t>Goals qual</t>
  </si>
  <si>
    <t>Q-Strategien</t>
  </si>
  <si>
    <t>Stratégies qual.</t>
  </si>
  <si>
    <t>Strategies qual.</t>
  </si>
  <si>
    <t>Q-Projekte</t>
  </si>
  <si>
    <t>Projets qual.</t>
  </si>
  <si>
    <t>Projects qual.</t>
  </si>
  <si>
    <t>Q-Ziele ok?</t>
  </si>
  <si>
    <t>Objectifs qualité ok?</t>
  </si>
  <si>
    <t>Quality goals ok?</t>
  </si>
  <si>
    <t>Beurteilungs- &amp; Motivations-gespräch</t>
  </si>
  <si>
    <t>Entretien d'appréciation &amp; de motivation</t>
  </si>
  <si>
    <t>Assessment &amp; motivational conversation</t>
  </si>
  <si>
    <t>Zielvereinbarung</t>
  </si>
  <si>
    <t>Accord-objectifs</t>
  </si>
  <si>
    <t>Goal setting</t>
  </si>
  <si>
    <t>Q-Projekte ok?</t>
  </si>
  <si>
    <t>Projets qual. ok ?</t>
  </si>
  <si>
    <t>Q projects ok?</t>
  </si>
  <si>
    <t>Qualitäts-strategien?</t>
  </si>
  <si>
    <t>Stratégies qualité ?</t>
  </si>
  <si>
    <t>Quality strategies?</t>
  </si>
  <si>
    <t>Neue Projekte?</t>
  </si>
  <si>
    <t>Nouveaux projets ?</t>
  </si>
  <si>
    <t>New projects?</t>
  </si>
  <si>
    <t>Qui ?</t>
  </si>
  <si>
    <t>Kontinuierliche Verbesserung</t>
  </si>
  <si>
    <t>Amélioration continue</t>
  </si>
  <si>
    <t>Continuous improvement</t>
  </si>
  <si>
    <t>Quality Manager</t>
  </si>
  <si>
    <t>Responsable 
qualité</t>
  </si>
  <si>
    <t>Quality manager</t>
  </si>
  <si>
    <t>Risques</t>
  </si>
  <si>
    <t>Risks</t>
  </si>
  <si>
    <t>SWOT</t>
  </si>
  <si>
    <t>Risiken</t>
  </si>
  <si>
    <t>Benchmark</t>
  </si>
  <si>
    <t>E N T W I C K L U N G S T R E N D S</t>
  </si>
  <si>
    <t>T E N D A N C E S   D E   D É V E L O P P E M E N T</t>
  </si>
  <si>
    <t>Trends</t>
  </si>
  <si>
    <t>Tendances</t>
  </si>
  <si>
    <t xml:space="preserve">
</t>
  </si>
  <si>
    <t>Groupe 2</t>
  </si>
  <si>
    <t>E I S E N H O W E R   M A T R I X</t>
  </si>
  <si>
    <t>Aufgabe</t>
  </si>
  <si>
    <t>Task</t>
  </si>
  <si>
    <t>Tâche</t>
  </si>
  <si>
    <t>important</t>
  </si>
  <si>
    <t>Aufgabe 1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</si>
  <si>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</si>
  <si>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</si>
  <si>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</si>
  <si>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</si>
  <si>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</si>
  <si>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</si>
  <si>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</si>
  <si>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</si>
  <si>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</si>
  <si>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</si>
  <si>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</si>
  <si>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</si>
  <si>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</si>
  <si>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</si>
  <si>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</si>
  <si>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</si>
  <si>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</si>
  <si>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</si>
  <si>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</si>
  <si>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</si>
  <si>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wichtig</t>
  </si>
  <si>
    <t>dringend</t>
  </si>
  <si>
    <t>urgent</t>
  </si>
  <si>
    <t>think first about it</t>
  </si>
  <si>
    <t>do it</t>
  </si>
  <si>
    <t>forget it</t>
  </si>
  <si>
    <t>delegate</t>
  </si>
  <si>
    <t>G A N Z H E I T L I C H E   F Ü H R U N G</t>
  </si>
  <si>
    <t>C O N D U I T E   I N T É G R A L E</t>
  </si>
  <si>
    <t>Effective Leadership</t>
  </si>
  <si>
    <t>Ansprüche - Werte - Ressourcen</t>
  </si>
  <si>
    <t>Exigences - Valeurs - Ressources</t>
  </si>
  <si>
    <t>Requirements - Values - Resources</t>
  </si>
  <si>
    <t>Gesellschaft- Wirtschaft- Technologie</t>
  </si>
  <si>
    <t>Société - Économie - Technologie</t>
  </si>
  <si>
    <t>Society - Economy - Technology</t>
  </si>
  <si>
    <t>Markt - Stakeholder - Konkurrenz</t>
  </si>
  <si>
    <t>Marché - Parties prenantes - Concurrence</t>
  </si>
  <si>
    <t>Market - Stakeholders - Competition</t>
  </si>
  <si>
    <t>Politik - Gesetze - Natur/Umwelt</t>
  </si>
  <si>
    <t>Politique - Lois - Nature/Environnement</t>
  </si>
  <si>
    <t>Politics - Laws - Nature / Environment</t>
  </si>
  <si>
    <t>Effektivität (do the right things)</t>
  </si>
  <si>
    <t>Efficience (do the right things)</t>
  </si>
  <si>
    <t>Effectiveness (do the right things)</t>
  </si>
  <si>
    <t>Vision/Mission</t>
  </si>
  <si>
    <t>Human res. develop.</t>
  </si>
  <si>
    <t>Strategies</t>
  </si>
  <si>
    <t>Massnahmen - Projekte</t>
  </si>
  <si>
    <t>Mesures - Projets</t>
  </si>
  <si>
    <t>Measures &amp; Projects</t>
  </si>
  <si>
    <t>Personal-führung</t>
  </si>
  <si>
    <t>Conduite du personel</t>
  </si>
  <si>
    <t>Staffing</t>
  </si>
  <si>
    <t>Leadership Kompetenzen</t>
  </si>
  <si>
    <t>Compétences de leadership</t>
  </si>
  <si>
    <t>Leadership skills</t>
  </si>
  <si>
    <t>Kultur</t>
  </si>
  <si>
    <t>Culture</t>
  </si>
  <si>
    <t>Business culture</t>
  </si>
  <si>
    <t>Personal &amp; Innovation</t>
  </si>
  <si>
    <t>Personnel &amp; Innovation</t>
  </si>
  <si>
    <t>Resources &amp; Innovation</t>
  </si>
  <si>
    <t>Management Kompetenzen</t>
  </si>
  <si>
    <t>Compétences de manager</t>
  </si>
  <si>
    <t>Management skills</t>
  </si>
  <si>
    <t>Entrepreuneurship Kompetenzen</t>
  </si>
  <si>
    <t>Compétences d'entreprenariat</t>
  </si>
  <si>
    <t>Entrepreneurship skills</t>
  </si>
  <si>
    <t>Effizienz (do the things right)</t>
  </si>
  <si>
    <t>Efficacité (do the things right)</t>
  </si>
  <si>
    <t>Efficiency (do the things right)</t>
  </si>
  <si>
    <t>Projektmgmt.</t>
  </si>
  <si>
    <t>Gest. de projet</t>
  </si>
  <si>
    <t>Prozessmgmt.</t>
  </si>
  <si>
    <t>Gest. processus</t>
  </si>
  <si>
    <t>Process management</t>
  </si>
  <si>
    <t>Qualitätsmgmt.</t>
  </si>
  <si>
    <t>Gest. Qualité</t>
  </si>
  <si>
    <t>Quality management</t>
  </si>
  <si>
    <t>Finanzmgmt.</t>
  </si>
  <si>
    <t>Gest. financière</t>
  </si>
  <si>
    <t>Financial management</t>
  </si>
  <si>
    <t>Marketing</t>
  </si>
  <si>
    <t>Entwicklung (do new things)</t>
  </si>
  <si>
    <t>Développement (do new things)</t>
  </si>
  <si>
    <t>Development (do new things)</t>
  </si>
  <si>
    <t>Innovationsmgmt.</t>
  </si>
  <si>
    <t>Gest. Innovation</t>
  </si>
  <si>
    <t>Innovation management</t>
  </si>
  <si>
    <t>Untern.gründung</t>
  </si>
  <si>
    <t>Créat. d'entrpr.</t>
  </si>
  <si>
    <t>Start up</t>
  </si>
  <si>
    <t>Communication</t>
  </si>
  <si>
    <t>Changemgmt.</t>
  </si>
  <si>
    <t>Gest. Changement</t>
  </si>
  <si>
    <t>Change management</t>
  </si>
  <si>
    <t>Riskmanagement</t>
  </si>
  <si>
    <t>Gest. du risque</t>
  </si>
  <si>
    <t>Risk management</t>
  </si>
  <si>
    <t>HRM</t>
  </si>
  <si>
    <t>GRH</t>
  </si>
  <si>
    <t>Human resources management</t>
  </si>
  <si>
    <t>Führung</t>
  </si>
  <si>
    <t>Conduite</t>
  </si>
  <si>
    <t>Effective leadership</t>
  </si>
  <si>
    <t>x!A5</t>
  </si>
  <si>
    <t/>
  </si>
  <si>
    <t>Führung des Unternehmens</t>
  </si>
  <si>
    <t>Conduite de l'entreprise</t>
  </si>
  <si>
    <t>Management of company</t>
  </si>
  <si>
    <t>Kunde</t>
  </si>
  <si>
    <t>Client</t>
  </si>
  <si>
    <t>Customer</t>
  </si>
  <si>
    <t>K E R N K O M P E T E N Z E N</t>
  </si>
  <si>
    <t>C  O M P É T E N C E S   C L É</t>
  </si>
  <si>
    <t>C O M P E T E N Z E</t>
  </si>
  <si>
    <t>C O R E   C O M P E T E N C E S</t>
  </si>
  <si>
    <t>Pareto</t>
  </si>
  <si>
    <t>Ursache-Wirkung</t>
  </si>
  <si>
    <t>Causes-Effets</t>
  </si>
  <si>
    <t>Cause-Effect</t>
  </si>
  <si>
    <t>Nombre</t>
  </si>
  <si>
    <t>Effort</t>
  </si>
  <si>
    <t>Kosten-Nutzen</t>
  </si>
  <si>
    <t>Coût-Avantage</t>
  </si>
  <si>
    <t>Varianten</t>
  </si>
  <si>
    <t>Variantes</t>
  </si>
  <si>
    <t>Änderung</t>
  </si>
  <si>
    <t>Changement</t>
  </si>
  <si>
    <t>Change</t>
  </si>
  <si>
    <t>Variante 1</t>
  </si>
  <si>
    <t>Variante 2</t>
  </si>
  <si>
    <t>Variante 3</t>
  </si>
  <si>
    <t>Urgences</t>
  </si>
  <si>
    <t>Dringlich-keit</t>
  </si>
  <si>
    <t>Phasen nach K. Lewin</t>
  </si>
  <si>
    <t>Phases selon K. Lewin</t>
  </si>
  <si>
    <t>CULTURE DU CHANGEMENT</t>
  </si>
  <si>
    <t>CHANGE KULTUR</t>
  </si>
  <si>
    <t>Bereitschaft für Veränderungen schaffen</t>
  </si>
  <si>
    <t>Umsetzung der vereinbarten Ziele</t>
  </si>
  <si>
    <t>Stabilisieren der implementierten Lösung</t>
  </si>
  <si>
    <t>sensibilisieren</t>
  </si>
  <si>
    <t>konzipieren</t>
  </si>
  <si>
    <t>mobilisieren</t>
  </si>
  <si>
    <t>implementieren</t>
  </si>
  <si>
    <t>konsolidieren</t>
  </si>
  <si>
    <t>K O A L I T I O N E N</t>
  </si>
  <si>
    <t>C O A L I T I O N</t>
  </si>
  <si>
    <t>C O A L I T I O N S</t>
  </si>
  <si>
    <t>C O A L I Z I O N I</t>
  </si>
  <si>
    <t>6 - 12 x pro Jahr</t>
  </si>
  <si>
    <t>6 - 12 x par année</t>
  </si>
  <si>
    <t>6-12 times a year</t>
  </si>
  <si>
    <t>Change Management</t>
  </si>
  <si>
    <t>Management du changement</t>
  </si>
  <si>
    <t>1. 
Dringlichkeit erzeugen</t>
  </si>
  <si>
    <t>3. 
Vision &amp; Strategie entwickeln und kommunizieren</t>
  </si>
  <si>
    <t>5. 
Kurzfristige Erfolge ermöglichen</t>
  </si>
  <si>
    <t>6. 
Fortschritte konsolidieren &amp; fortfahren</t>
  </si>
  <si>
    <t>7. 
Verhalten in Kultur verankern</t>
  </si>
  <si>
    <t>2.  
Former des coalitions</t>
  </si>
  <si>
    <t>4. 
Créer la base pour l'implémentation</t>
  </si>
  <si>
    <t>5. 
Favoriser des succès à court terme</t>
  </si>
  <si>
    <t>6. 
Consolider les progrès et continuer</t>
  </si>
  <si>
    <t>7. 
Ancrer le comportement dans la culture</t>
  </si>
  <si>
    <t>Structure</t>
  </si>
  <si>
    <t>Systèmes</t>
  </si>
  <si>
    <t>Personnel</t>
  </si>
  <si>
    <t>Compé-tences</t>
  </si>
  <si>
    <t>Communi-cation</t>
  </si>
  <si>
    <t>Stabiliser (Refreezing)</t>
  </si>
  <si>
    <t>Changer (Moving)</t>
  </si>
  <si>
    <t>3. 
Développer et communiquer la vision et les stratégies</t>
  </si>
  <si>
    <t>4. 
Umsetzungsbasis schaffen</t>
  </si>
  <si>
    <t>Créer volonté de changement</t>
  </si>
  <si>
    <t>Mise en œuvre des objectifs convenus</t>
  </si>
  <si>
    <t>sensibiliser</t>
  </si>
  <si>
    <t>concevoir</t>
  </si>
  <si>
    <t>mobiliser</t>
  </si>
  <si>
    <t>réaliser</t>
  </si>
  <si>
    <t>Stabiliser la solution réalisée</t>
  </si>
  <si>
    <t>consolider</t>
  </si>
  <si>
    <t>Volonté de renouveler</t>
  </si>
  <si>
    <t>Satisfaction</t>
  </si>
  <si>
    <t>Renouvellement</t>
  </si>
  <si>
    <t>Confusion</t>
  </si>
  <si>
    <t>Dénégation</t>
  </si>
  <si>
    <t>lentement
évolutionniste
Efficacité sociale
Forte participation des collab.
Crise stratégique / désir comme un déclencheur</t>
  </si>
  <si>
    <t>Développement organisationnel</t>
  </si>
  <si>
    <t>Organisationsentwicklung</t>
  </si>
  <si>
    <t>Déblocage (Unfreezing)</t>
  </si>
  <si>
    <t>"Crise de survie" comme déclencheur
faible participation des collab.
efficacité économique
radical
rapide</t>
  </si>
  <si>
    <t>Plus-value pour clients</t>
  </si>
  <si>
    <t>Plus-value pour collab.</t>
  </si>
  <si>
    <t>Innovation  processus</t>
  </si>
  <si>
    <t>Pers.-entwickl.</t>
  </si>
  <si>
    <t>Dévl.du personel</t>
  </si>
  <si>
    <t>Number</t>
  </si>
  <si>
    <t xml:space="preserve">variants </t>
  </si>
  <si>
    <t>Emergency</t>
  </si>
  <si>
    <t xml:space="preserve">Cost-Advantage </t>
  </si>
  <si>
    <t>Aufgabe 2</t>
  </si>
  <si>
    <t>Aufgabe 3</t>
  </si>
  <si>
    <t>impor-tant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</si>
  <si>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</si>
  <si>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</si>
  <si>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</si>
  <si>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</si>
  <si>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</si>
  <si>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</si>
  <si>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</si>
  <si>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</si>
  <si>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</si>
  <si>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</si>
  <si>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</si>
  <si>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</si>
  <si>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</si>
  <si>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</si>
  <si>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</si>
  <si>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</si>
  <si>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</si>
  <si>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</si>
  <si>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</si>
  <si>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</si>
  <si>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</si>
  <si>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</si>
  <si>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</si>
  <si>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</si>
  <si>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</si>
  <si>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</si>
  <si>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</si>
  <si>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</si>
  <si>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</si>
  <si>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</si>
  <si>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</si>
  <si>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</si>
  <si>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</si>
  <si>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</si>
  <si>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</si>
  <si>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</si>
  <si>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</si>
  <si>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</si>
  <si>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</si>
  <si>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</si>
  <si>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</si>
  <si>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</si>
  <si>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</si>
  <si>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</si>
  <si>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</si>
  <si>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</si>
  <si>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</si>
  <si>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</si>
  <si>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</si>
  <si>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</si>
  <si>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</si>
  <si>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</si>
  <si>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</si>
  <si>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</si>
  <si>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</si>
  <si>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</si>
  <si>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</si>
  <si>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</si>
  <si>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</si>
  <si>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</si>
  <si>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</si>
  <si>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</si>
  <si>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</si>
  <si>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</si>
  <si>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</si>
  <si>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</si>
  <si>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</si>
  <si>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</si>
  <si>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</si>
  <si>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</si>
  <si>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</si>
  <si>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</si>
  <si>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</si>
  <si>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</si>
  <si>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</si>
  <si>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</si>
  <si>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</si>
  <si>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</si>
  <si>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</si>
  <si>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</si>
  <si>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Prio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</si>
  <si>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</si>
  <si>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</si>
  <si>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</si>
  <si>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</si>
  <si>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</si>
  <si>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</si>
  <si>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</si>
  <si>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</si>
  <si>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</si>
  <si>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</si>
  <si>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</si>
  <si>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</si>
  <si>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</si>
  <si>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</si>
  <si>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</si>
  <si>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</si>
  <si>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</si>
  <si>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</si>
  <si>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</si>
  <si>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</si>
  <si>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</si>
  <si>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</si>
  <si>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</si>
  <si>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</si>
  <si>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</si>
  <si>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</si>
  <si>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</si>
  <si>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</si>
  <si>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</si>
  <si>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</si>
  <si>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</si>
  <si>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</si>
  <si>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</si>
  <si>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</si>
  <si>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</si>
  <si>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</si>
  <si>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</si>
  <si>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</si>
  <si>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</si>
  <si>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</si>
  <si>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</si>
  <si>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</si>
  <si>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</si>
  <si>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</si>
  <si>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</si>
  <si>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</si>
  <si>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</si>
  <si>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</si>
  <si>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</si>
  <si>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</si>
  <si>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</si>
  <si>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</si>
  <si>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</si>
  <si>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</si>
  <si>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</si>
  <si>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</si>
  <si>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</si>
  <si>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</si>
  <si>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</si>
  <si>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</si>
  <si>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 E R S O N N E L</t>
  </si>
  <si>
    <t>Systems</t>
  </si>
  <si>
    <t>Processes</t>
  </si>
  <si>
    <t>1. 
Create a sense of urgency</t>
  </si>
  <si>
    <t>3.
Develop and communicate visions and strategies</t>
  </si>
  <si>
    <t>4.
Create a basis for implementation</t>
  </si>
  <si>
    <t>5.
Enable short term success</t>
  </si>
  <si>
    <t>6.
Consolidate progress and continue</t>
  </si>
  <si>
    <t>7. 
Embed behaviour in culture</t>
  </si>
  <si>
    <t>Unfreezing</t>
  </si>
  <si>
    <t>Moving</t>
  </si>
  <si>
    <t>Refreezing</t>
  </si>
  <si>
    <t>Phases according to K. Lewin</t>
  </si>
  <si>
    <t>CHANGE CULTURE</t>
  </si>
  <si>
    <t>Create willingness for changes</t>
  </si>
  <si>
    <t>Implementation of the agreed objectives</t>
  </si>
  <si>
    <t>Stabilize the implemented solution</t>
  </si>
  <si>
    <t>sensitize</t>
  </si>
  <si>
    <t>plan</t>
  </si>
  <si>
    <t>mobilize</t>
  </si>
  <si>
    <t>implement</t>
  </si>
  <si>
    <t>consolidate</t>
  </si>
  <si>
    <t xml:space="preserve">P E R S O N N E L </t>
  </si>
  <si>
    <t>Person or group</t>
  </si>
  <si>
    <t>Willingness for renewal</t>
  </si>
  <si>
    <t>Amount</t>
  </si>
  <si>
    <t>Renewal</t>
  </si>
  <si>
    <t>Denial</t>
  </si>
  <si>
    <t>Organisational development</t>
  </si>
  <si>
    <t>Triggered by “crisis to survive”
low participation of employees
economic efficiency
radical
fast</t>
  </si>
  <si>
    <t>slow
evolutionary
high participation of employees
strategic crisis / desire as a trigger</t>
  </si>
  <si>
    <r>
      <t>1.</t>
    </r>
    <r>
      <rPr>
        <sz val="11"/>
        <rFont val="Calibri"/>
        <family val="2"/>
        <scheme val="minor"/>
      </rPr>
      <t xml:space="preserve"> 
Créer l'urgence</t>
    </r>
  </si>
  <si>
    <r>
      <t> </t>
    </r>
    <r>
      <rPr>
        <sz val="11"/>
        <color rgb="FFFFFFFF"/>
        <rFont val="Calibri"/>
        <family val="2"/>
        <scheme val="minor"/>
      </rPr>
      <t>C A N V A S:  F O R Z E    &amp;   D E B O L E Z Z E</t>
    </r>
  </si>
  <si>
    <t>A D A P T  P R O C E S S E S</t>
  </si>
  <si>
    <t>Priority</t>
  </si>
  <si>
    <t>Customer benefit</t>
  </si>
  <si>
    <t>A D A P T   S T R U C T U R E S</t>
  </si>
  <si>
    <t xml:space="preserve">Employee benefit </t>
  </si>
  <si>
    <t>A D A P T   S Y S T E M S</t>
  </si>
  <si>
    <t>Employee benefit</t>
  </si>
  <si>
    <t>D E V E L O P M E N T   T R E N D S</t>
  </si>
  <si>
    <t>Political trends</t>
  </si>
  <si>
    <t>Influencing factors</t>
  </si>
  <si>
    <t>Strength of impact</t>
  </si>
  <si>
    <t>Economic trends</t>
  </si>
  <si>
    <t>Sociological trends</t>
  </si>
  <si>
    <t>Technological trends</t>
  </si>
  <si>
    <t>Ecological trends</t>
  </si>
  <si>
    <t>Legal trends</t>
  </si>
  <si>
    <t>C O S T   -   B E N E F I T</t>
  </si>
  <si>
    <t>Benefit</t>
  </si>
  <si>
    <t>high</t>
  </si>
  <si>
    <t>low</t>
  </si>
  <si>
    <t>Cost</t>
  </si>
  <si>
    <t>Product innovation</t>
  </si>
  <si>
    <t>Service innovation</t>
  </si>
  <si>
    <t>Innovation process</t>
  </si>
  <si>
    <t>Organisational innovation</t>
  </si>
  <si>
    <t>Compe-tencies</t>
  </si>
  <si>
    <t>Ihr Logo:</t>
  </si>
  <si>
    <t>Votre logo:</t>
  </si>
  <si>
    <t>Your logo:</t>
  </si>
  <si>
    <t>Vostro logo:</t>
  </si>
  <si>
    <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s.</t>
    </r>
    <r>
      <rPr>
        <sz val="8"/>
        <color rgb="FFFF0000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mboden 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</si>
  <si>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r>
      <t>©</t>
    </r>
    <r>
      <rPr>
        <b/>
        <sz val="8"/>
        <color rgb="FFFF0000"/>
        <rFont val="Calibri Light"/>
        <family val="2"/>
      </rPr>
      <t xml:space="preserve"> i</t>
    </r>
    <r>
      <rPr>
        <sz val="8"/>
        <color theme="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- s.</t>
    </r>
    <r>
      <rPr>
        <b/>
        <sz val="8"/>
        <color rgb="FFFF0000"/>
        <rFont val="Calibri Light"/>
        <family val="2"/>
      </rPr>
      <t>i</t>
    </r>
    <r>
      <rPr>
        <sz val="8"/>
        <color theme="1"/>
        <rFont val="Calibri Light"/>
        <family val="2"/>
      </rPr>
      <t>mboden</t>
    </r>
  </si>
  <si>
    <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</si>
  <si>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r>
      <rPr>
        <sz val="8"/>
        <color theme="1"/>
        <rFont val="Calibri Light"/>
        <family val="2"/>
      </rP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s.</t>
    </r>
    <r>
      <rPr>
        <sz val="8"/>
        <color rgb="FFFF0000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mboden 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</si>
  <si>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t>V1.1.2</t>
  </si>
  <si>
    <t>2. 
Führungs-koalitionen bilden</t>
  </si>
  <si>
    <t>2. 
Build a Guiding Coalition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</si>
</sst>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 * #,##0.00_ ;_ * \-#,##0.00_ ;_ * &quot;-&quot;??_ ;_ @_ "/>
    <numFmt numFmtId="164" formatCode="_ &quot;fr.&quot;\ * #,##0.00_ ;_ &quot;fr.&quot;\ * \-#,##0.00_ ;_ &quot;fr.&quot;\ * &quot;-&quot;??_ ;_ @_ "/>
    <numFmt numFmtId="165" formatCode="0.0"/>
    <numFmt numFmtId="166" formatCode="_ * #,##0_ ;_ * \-#,##0_ ;_ * &quot;-&quot;??_ ;_ @_ "/>
    <numFmt numFmtId="167" formatCode=";;;"/>
    <numFmt numFmtId="168" formatCode="_-* #,##0.00\ [$€-1]_-;\-* #,##0.00\ [$€-1]_-;_-* &quot;-&quot;??\ [$€-1]_-"/>
  </numFmts>
  <fonts count="1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u/>
      <sz val="7.7"/>
      <color theme="10"/>
      <name val="Calibri"/>
      <family val="2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Verdana"/>
      <family val="2"/>
    </font>
    <font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6" tint="0.3999755851924192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0"/>
      <color indexed="12"/>
      <name val="Arial"/>
      <family val="2"/>
    </font>
    <font>
      <u/>
      <sz val="10"/>
      <color indexed="12"/>
      <name val="Verdana"/>
      <family val="2"/>
    </font>
    <font>
      <b/>
      <sz val="24"/>
      <color theme="3"/>
      <name val="Calibri Light"/>
      <family val="2"/>
    </font>
    <font>
      <sz val="24"/>
      <color theme="3"/>
      <name val="Calibri Light"/>
      <family val="2"/>
    </font>
    <font>
      <sz val="14"/>
      <color theme="0" tint="-0.499984740745262"/>
      <name val="Calibri Light"/>
      <family val="2"/>
    </font>
    <font>
      <sz val="20"/>
      <name val="Calibri Light"/>
      <family val="2"/>
    </font>
    <font>
      <sz val="10"/>
      <name val="Calibri Light"/>
      <family val="2"/>
    </font>
    <font>
      <sz val="10"/>
      <color theme="1"/>
      <name val="Calibri Light"/>
      <family val="2"/>
    </font>
    <font>
      <sz val="11"/>
      <color theme="1"/>
      <name val="Calibri Light"/>
      <family val="2"/>
    </font>
    <font>
      <sz val="12"/>
      <color theme="0" tint="-0.499984740745262"/>
      <name val="Calibri Light"/>
      <family val="2"/>
    </font>
    <font>
      <sz val="9"/>
      <color rgb="FF000000"/>
      <name val="Calibri Light"/>
      <family val="2"/>
    </font>
    <font>
      <u/>
      <sz val="7.7"/>
      <color theme="10"/>
      <name val="Calibri Light"/>
      <family val="2"/>
    </font>
    <font>
      <b/>
      <sz val="18"/>
      <name val="Calibri Light"/>
      <family val="2"/>
    </font>
    <font>
      <sz val="8"/>
      <color theme="1"/>
      <name val="Calibri Light"/>
      <family val="2"/>
    </font>
    <font>
      <b/>
      <sz val="8"/>
      <color rgb="FFFF0000"/>
      <name val="Calibri Light"/>
      <family val="2"/>
    </font>
    <font>
      <sz val="8"/>
      <color rgb="FFFF0000"/>
      <name val="Calibri Light"/>
      <family val="2"/>
    </font>
    <font>
      <sz val="8"/>
      <color theme="3" tint="-0.249977111117893"/>
      <name val="Calibri Light"/>
      <family val="2"/>
    </font>
    <font>
      <sz val="8"/>
      <color theme="1" tint="0.499984740745262"/>
      <name val="Calibri Light"/>
      <family val="2"/>
    </font>
    <font>
      <b/>
      <sz val="8"/>
      <color theme="1" tint="0.499984740745262"/>
      <name val="Calibri Light"/>
      <family val="2"/>
    </font>
    <font>
      <sz val="12"/>
      <color rgb="FF005581"/>
      <name val="Calibri Light"/>
      <family val="2"/>
    </font>
    <font>
      <u/>
      <sz val="7.7"/>
      <color theme="0"/>
      <name val="Calibri Light"/>
      <family val="2"/>
    </font>
    <font>
      <sz val="10"/>
      <color theme="0"/>
      <name val="Calibri Light"/>
      <family val="2"/>
    </font>
    <font>
      <sz val="12"/>
      <color theme="1"/>
      <name val="Calibri Light"/>
      <family val="2"/>
    </font>
    <font>
      <b/>
      <sz val="14"/>
      <color theme="1"/>
      <name val="Calibri Light"/>
      <family val="2"/>
    </font>
    <font>
      <b/>
      <sz val="12"/>
      <color theme="1"/>
      <name val="Calibri Light"/>
      <family val="2"/>
    </font>
    <font>
      <sz val="20"/>
      <color rgb="FFC00000"/>
      <name val="Calibri Light"/>
      <family val="2"/>
    </font>
    <font>
      <sz val="8"/>
      <color theme="3"/>
      <name val="Calibri Light"/>
      <family val="2"/>
    </font>
    <font>
      <sz val="24"/>
      <color rgb="FFFF0000"/>
      <name val="Calibri Light"/>
      <family val="2"/>
    </font>
    <font>
      <b/>
      <sz val="14"/>
      <color theme="3"/>
      <name val="Calibri Light"/>
      <family val="2"/>
    </font>
    <font>
      <sz val="12"/>
      <color rgb="FFFF0000"/>
      <name val="Calibri Light"/>
      <family val="2"/>
    </font>
    <font>
      <sz val="24"/>
      <color theme="5" tint="-0.249977111117893"/>
      <name val="Calibri Light"/>
      <family val="2"/>
    </font>
    <font>
      <sz val="11"/>
      <color theme="0" tint="-0.499984740745262"/>
      <name val="Calibri Light"/>
      <family val="2"/>
    </font>
    <font>
      <b/>
      <sz val="14"/>
      <color theme="0"/>
      <name val="Calibri Light"/>
      <family val="2"/>
    </font>
    <font>
      <b/>
      <sz val="10"/>
      <color theme="1"/>
      <name val="Calibri Light"/>
      <family val="2"/>
    </font>
    <font>
      <sz val="18"/>
      <color theme="0" tint="-0.499984740745262"/>
      <name val="Calibri Light"/>
      <family val="2"/>
    </font>
    <font>
      <sz val="10"/>
      <color rgb="FF000000"/>
      <name val="Calibri Light"/>
      <family val="2"/>
    </font>
    <font>
      <sz val="24"/>
      <color theme="0"/>
      <name val="Calibri Light"/>
      <family val="2"/>
    </font>
    <font>
      <sz val="12"/>
      <color theme="0"/>
      <name val="Calibri Light"/>
      <family val="2"/>
    </font>
    <font>
      <sz val="11"/>
      <name val="Calibri Light"/>
      <family val="2"/>
    </font>
    <font>
      <sz val="12"/>
      <name val="Calibri Light"/>
      <family val="2"/>
    </font>
    <font>
      <sz val="11"/>
      <color theme="0"/>
      <name val="Calibri Light"/>
      <family val="2"/>
    </font>
    <font>
      <u/>
      <sz val="7.7"/>
      <name val="Calibri Light"/>
      <family val="2"/>
    </font>
    <font>
      <b/>
      <sz val="11"/>
      <color theme="0"/>
      <name val="Calibri Light"/>
      <family val="2"/>
    </font>
    <font>
      <b/>
      <sz val="11"/>
      <color theme="1"/>
      <name val="Calibri Light"/>
      <family val="2"/>
    </font>
    <font>
      <sz val="12"/>
      <color theme="3"/>
      <name val="Calibri Light"/>
      <family val="2"/>
    </font>
    <font>
      <sz val="11"/>
      <color theme="3"/>
      <name val="Calibri Light"/>
      <family val="2"/>
    </font>
    <font>
      <sz val="14"/>
      <color rgb="FFC00000"/>
      <name val="Calibri Light"/>
      <family val="2"/>
    </font>
    <font>
      <sz val="14"/>
      <color theme="3"/>
      <name val="Calibri Light"/>
      <family val="2"/>
    </font>
    <font>
      <b/>
      <sz val="12"/>
      <name val="Calibri Light"/>
      <family val="2"/>
    </font>
    <font>
      <b/>
      <sz val="10"/>
      <color theme="5"/>
      <name val="Calibri Light"/>
      <family val="2"/>
    </font>
    <font>
      <b/>
      <sz val="12"/>
      <color theme="5"/>
      <name val="Calibri Light"/>
      <family val="2"/>
    </font>
    <font>
      <sz val="9"/>
      <color theme="1"/>
      <name val="Calibri Light"/>
      <family val="2"/>
    </font>
    <font>
      <sz val="22"/>
      <color theme="3"/>
      <name val="Calibri Light"/>
      <family val="2"/>
    </font>
    <font>
      <b/>
      <sz val="16"/>
      <color theme="3"/>
      <name val="Calibri Light"/>
      <family val="2"/>
    </font>
    <font>
      <sz val="11"/>
      <color theme="0" tint="-0.34998626667073579"/>
      <name val="Calibri Light"/>
      <family val="2"/>
    </font>
    <font>
      <b/>
      <sz val="12"/>
      <color theme="3"/>
      <name val="Calibri Light"/>
      <family val="2"/>
    </font>
    <font>
      <sz val="12"/>
      <color theme="3" tint="-0.249977111117893"/>
      <name val="Calibri Light"/>
      <family val="2"/>
    </font>
    <font>
      <sz val="10"/>
      <color theme="3" tint="-0.249977111117893"/>
      <name val="Calibri Light"/>
      <family val="2"/>
    </font>
    <font>
      <b/>
      <sz val="14"/>
      <color theme="3" tint="-0.249977111117893"/>
      <name val="Calibri Light"/>
      <family val="2"/>
    </font>
    <font>
      <b/>
      <sz val="12"/>
      <color theme="0"/>
      <name val="Calibri Light"/>
      <family val="2"/>
    </font>
    <font>
      <b/>
      <sz val="10"/>
      <color theme="0"/>
      <name val="Calibri Light"/>
      <family val="2"/>
    </font>
    <font>
      <sz val="14"/>
      <color theme="1" tint="0.34998626667073579"/>
      <name val="Calibri Light"/>
      <family val="2"/>
    </font>
    <font>
      <sz val="8"/>
      <name val="Calibri Light"/>
      <family val="2"/>
    </font>
    <font>
      <sz val="9"/>
      <color theme="0"/>
      <name val="Calibri Light"/>
      <family val="2"/>
    </font>
    <font>
      <sz val="10"/>
      <color theme="6" tint="0.79998168889431442"/>
      <name val="Calibri Light"/>
      <family val="2"/>
    </font>
    <font>
      <sz val="11"/>
      <color theme="1" tint="0.499984740745262"/>
      <name val="Calibri Light"/>
      <family val="2"/>
    </font>
    <font>
      <sz val="14"/>
      <color theme="1" tint="0.499984740745262"/>
      <name val="Calibri Light"/>
      <family val="2"/>
    </font>
    <font>
      <sz val="18"/>
      <color theme="5"/>
      <name val="Calibri Light"/>
      <family val="2"/>
    </font>
    <font>
      <sz val="9"/>
      <color rgb="FF3B5998"/>
      <name val="Calibri Light"/>
      <family val="2"/>
    </font>
    <font>
      <sz val="18"/>
      <color theme="1" tint="0.499984740745262"/>
      <name val="Calibri Light"/>
      <family val="2"/>
    </font>
    <font>
      <b/>
      <sz val="24"/>
      <color theme="0"/>
      <name val="Calibri Light"/>
      <family val="2"/>
    </font>
    <font>
      <sz val="11"/>
      <color theme="0" tint="-4.9989318521683403E-2"/>
      <name val="Calibri Light"/>
      <family val="2"/>
    </font>
    <font>
      <b/>
      <sz val="9"/>
      <color theme="1"/>
      <name val="Calibri Light"/>
      <family val="2"/>
    </font>
    <font>
      <sz val="16"/>
      <color theme="3"/>
      <name val="Calibri Light"/>
      <family val="2"/>
    </font>
    <font>
      <b/>
      <sz val="12"/>
      <color rgb="FFFF0000"/>
      <name val="Calibri Light"/>
      <family val="2"/>
    </font>
    <font>
      <sz val="9"/>
      <color theme="3"/>
      <name val="Calibri Light"/>
      <family val="2"/>
    </font>
    <font>
      <sz val="11"/>
      <color rgb="FF000000"/>
      <name val="Calibri Light"/>
      <family val="2"/>
    </font>
    <font>
      <sz val="7"/>
      <color theme="1"/>
      <name val="Calibri Light"/>
      <family val="2"/>
    </font>
    <font>
      <sz val="14"/>
      <color theme="1"/>
      <name val="Calibri Light"/>
      <family val="2"/>
    </font>
    <font>
      <sz val="14"/>
      <color theme="0"/>
      <name val="Calibri Light"/>
      <family val="2"/>
    </font>
    <font>
      <sz val="11"/>
      <color theme="0" tint="-0.14999847407452621"/>
      <name val="Calibri Light"/>
      <family val="2"/>
    </font>
    <font>
      <sz val="10"/>
      <color theme="0" tint="-0.14999847407452621"/>
      <name val="Calibri Light"/>
      <family val="2"/>
    </font>
    <font>
      <sz val="8"/>
      <color theme="0" tint="-0.14999847407452621"/>
      <name val="Calibri Light"/>
      <family val="2"/>
    </font>
    <font>
      <b/>
      <i/>
      <sz val="16"/>
      <color theme="0"/>
      <name val="Calibri Light"/>
      <family val="2"/>
    </font>
    <font>
      <sz val="8"/>
      <color rgb="FF000000"/>
      <name val="Calibri Light"/>
      <family val="2"/>
    </font>
    <font>
      <sz val="10"/>
      <color rgb="FF005581"/>
      <name val="Calibri Light"/>
      <family val="2"/>
    </font>
    <font>
      <b/>
      <sz val="16"/>
      <color theme="0"/>
      <name val="Calibri Light"/>
      <family val="2"/>
    </font>
    <font>
      <sz val="18"/>
      <color theme="1"/>
      <name val="Calibri Light"/>
      <family val="2"/>
    </font>
    <font>
      <u/>
      <sz val="12"/>
      <color theme="10"/>
      <name val="Calibri Light"/>
      <family val="2"/>
    </font>
    <font>
      <b/>
      <sz val="11"/>
      <color theme="3"/>
      <name val="Calibri Light"/>
      <family val="2"/>
    </font>
    <font>
      <b/>
      <sz val="12"/>
      <color theme="4" tint="0.39997558519241921"/>
      <name val="Calibri Light"/>
      <family val="2"/>
    </font>
    <font>
      <b/>
      <sz val="12"/>
      <color theme="9" tint="0.39997558519241921"/>
      <name val="Calibri Light"/>
      <family val="2"/>
    </font>
    <font>
      <sz val="16"/>
      <color theme="4" tint="0.39997558519241921"/>
      <name val="Calibri Light"/>
      <family val="2"/>
    </font>
    <font>
      <sz val="16"/>
      <color theme="9" tint="0.39997558519241921"/>
      <name val="Calibri Light"/>
      <family val="2"/>
    </font>
    <font>
      <sz val="11"/>
      <color theme="4" tint="-0.499984740745262"/>
      <name val="Calibri Light"/>
      <family val="2"/>
    </font>
    <font>
      <sz val="11"/>
      <color theme="9" tint="-0.499984740745262"/>
      <name val="Calibri Light"/>
      <family val="2"/>
    </font>
    <font>
      <b/>
      <sz val="12"/>
      <color theme="5" tint="0.39997558519241921"/>
      <name val="Calibri Light"/>
      <family val="2"/>
    </font>
    <font>
      <sz val="16"/>
      <color theme="5" tint="0.39997558519241921"/>
      <name val="Calibri Light"/>
      <family val="2"/>
    </font>
    <font>
      <b/>
      <sz val="12"/>
      <color theme="7" tint="0.39997558519241921"/>
      <name val="Calibri Light"/>
      <family val="2"/>
    </font>
    <font>
      <sz val="16"/>
      <color theme="7" tint="0.39997558519241921"/>
      <name val="Calibri Light"/>
      <family val="2"/>
    </font>
    <font>
      <sz val="11"/>
      <color theme="7" tint="-0.499984740745262"/>
      <name val="Calibri Light"/>
      <family val="2"/>
    </font>
    <font>
      <sz val="12"/>
      <color theme="1" tint="0.499984740745262"/>
      <name val="Calibri Light"/>
      <family val="2"/>
    </font>
    <font>
      <b/>
      <sz val="16"/>
      <color theme="1"/>
      <name val="Calibri Light"/>
      <family val="2"/>
    </font>
    <font>
      <b/>
      <sz val="11"/>
      <color rgb="FFFF0000"/>
      <name val="Calibri Light"/>
      <family val="2"/>
    </font>
    <font>
      <sz val="11"/>
      <color rgb="FFFF0000"/>
      <name val="Calibri Light"/>
      <family val="2"/>
    </font>
    <font>
      <sz val="10"/>
      <color theme="3"/>
      <name val="Calibri Light"/>
      <family val="2"/>
    </font>
    <font>
      <sz val="14"/>
      <color rgb="FFFF0000"/>
      <name val="Calibri Light"/>
      <family val="2"/>
    </font>
    <font>
      <b/>
      <sz val="9"/>
      <color theme="0"/>
      <name val="Calibri Light"/>
      <family val="2"/>
    </font>
    <font>
      <sz val="18"/>
      <color theme="0"/>
      <name val="Calibri Light"/>
      <family val="2"/>
    </font>
  </fonts>
  <fills count="49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469B"/>
        <bgColor indexed="64"/>
      </patternFill>
    </fill>
    <fill>
      <patternFill patternType="solid">
        <fgColor rgb="FF1455A8"/>
        <bgColor indexed="64"/>
      </patternFill>
    </fill>
    <fill>
      <patternFill patternType="solid">
        <fgColor rgb="FF3264B4"/>
        <bgColor indexed="64"/>
      </patternFill>
    </fill>
    <fill>
      <patternFill patternType="solid">
        <fgColor rgb="FF5078BE"/>
        <bgColor indexed="64"/>
      </patternFill>
    </fill>
    <fill>
      <patternFill patternType="solid">
        <fgColor rgb="FF739BC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/>
      <bottom style="hair">
        <color theme="0" tint="-0.34998626667073579"/>
      </bottom>
      <diagonal/>
    </border>
    <border>
      <left/>
      <right style="hair">
        <color theme="0" tint="-0.34998626667073579"/>
      </right>
      <top/>
      <bottom style="hair">
        <color theme="0" tint="-0.34998626667073579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7" tint="0.39994506668294322"/>
      </right>
      <top/>
      <bottom/>
      <diagonal/>
    </border>
    <border>
      <left/>
      <right style="thin">
        <color theme="4" tint="0.39994506668294322"/>
      </right>
      <top/>
      <bottom/>
      <diagonal/>
    </border>
    <border>
      <left style="thin">
        <color theme="3"/>
      </left>
      <right style="hair">
        <color auto="1"/>
      </right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hair">
        <color auto="1"/>
      </right>
      <top/>
      <bottom/>
      <diagonal/>
    </border>
    <border>
      <left style="hair">
        <color auto="1"/>
      </left>
      <right style="thin">
        <color theme="3"/>
      </right>
      <top/>
      <bottom/>
      <diagonal/>
    </border>
    <border>
      <left style="thin">
        <color indexed="64"/>
      </left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theme="3"/>
      </bottom>
      <diagonal/>
    </border>
    <border>
      <left style="hair">
        <color auto="1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medium">
        <color theme="0" tint="-4.9989318521683403E-2"/>
      </left>
      <right style="medium">
        <color theme="0" tint="-4.9989318521683403E-2"/>
      </right>
      <top/>
      <bottom style="medium">
        <color theme="0" tint="-4.9989318521683403E-2"/>
      </bottom>
      <diagonal/>
    </border>
    <border>
      <left/>
      <right style="hair">
        <color theme="3"/>
      </right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0" borderId="0"/>
    <xf numFmtId="0" fontId="23" fillId="0" borderId="0"/>
    <xf numFmtId="0" fontId="27" fillId="0" borderId="0" applyNumberFormat="0" applyFill="0" applyBorder="0" applyAlignment="0" applyProtection="0">
      <alignment vertical="top"/>
      <protection locked="0"/>
    </xf>
    <xf numFmtId="0" fontId="18" fillId="0" borderId="0"/>
    <xf numFmtId="164" fontId="17" fillId="0" borderId="0" applyFont="0" applyFill="0" applyBorder="0" applyAlignment="0" applyProtection="0"/>
    <xf numFmtId="0" fontId="30" fillId="0" borderId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6" fillId="0" borderId="0"/>
    <xf numFmtId="0" fontId="15" fillId="0" borderId="0"/>
    <xf numFmtId="0" fontId="32" fillId="0" borderId="0" applyNumberFormat="0" applyFill="0" applyBorder="0" applyAlignment="0" applyProtection="0"/>
    <xf numFmtId="0" fontId="14" fillId="0" borderId="0"/>
    <xf numFmtId="0" fontId="13" fillId="0" borderId="0"/>
    <xf numFmtId="0" fontId="12" fillId="35" borderId="0" applyNumberFormat="0" applyBorder="0" applyAlignment="0" applyProtection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9" fontId="33" fillId="0" borderId="0" applyFont="0" applyFill="0" applyBorder="0" applyAlignment="0" applyProtection="0"/>
    <xf numFmtId="0" fontId="2" fillId="0" borderId="0"/>
    <xf numFmtId="168" fontId="30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</cellStyleXfs>
  <cellXfs count="1124">
    <xf numFmtId="0" fontId="0" fillId="0" borderId="0" xfId="0"/>
    <xf numFmtId="0" fontId="0" fillId="0" borderId="0" xfId="0" applyProtection="1">
      <protection hidden="1"/>
    </xf>
    <xf numFmtId="0" fontId="26" fillId="0" borderId="0" xfId="0" applyFont="1" applyProtection="1">
      <protection hidden="1"/>
    </xf>
    <xf numFmtId="167" fontId="19" fillId="7" borderId="0" xfId="3" applyNumberFormat="1" applyFont="1" applyFill="1" applyAlignment="1" applyProtection="1">
      <alignment horizontal="left" vertical="top" wrapText="1"/>
      <protection hidden="1"/>
    </xf>
    <xf numFmtId="167" fontId="19" fillId="0" borderId="0" xfId="3" applyNumberFormat="1" applyFont="1" applyAlignment="1" applyProtection="1">
      <alignment horizontal="left" vertical="top" wrapText="1"/>
      <protection hidden="1"/>
    </xf>
    <xf numFmtId="0" fontId="19" fillId="0" borderId="0" xfId="3" applyFont="1" applyAlignment="1" applyProtection="1">
      <alignment horizontal="left" vertical="top" wrapText="1"/>
      <protection hidden="1"/>
    </xf>
    <xf numFmtId="0" fontId="3" fillId="4" borderId="1" xfId="3" applyFont="1" applyFill="1" applyBorder="1" applyAlignment="1" applyProtection="1">
      <alignment horizontal="left" vertical="top" wrapText="1"/>
      <protection hidden="1"/>
    </xf>
    <xf numFmtId="0" fontId="3" fillId="0" borderId="1" xfId="3" applyFont="1" applyBorder="1" applyAlignment="1" applyProtection="1">
      <alignment horizontal="left" vertical="top" wrapText="1"/>
      <protection hidden="1"/>
    </xf>
    <xf numFmtId="0" fontId="29" fillId="0" borderId="1" xfId="3" applyFont="1" applyBorder="1" applyAlignment="1" applyProtection="1">
      <alignment horizontal="left" vertical="top" wrapText="1"/>
      <protection hidden="1"/>
    </xf>
    <xf numFmtId="0" fontId="3" fillId="0" borderId="0" xfId="3" applyFont="1" applyAlignment="1" applyProtection="1">
      <alignment horizontal="left" vertical="top" wrapText="1"/>
      <protection hidden="1"/>
    </xf>
    <xf numFmtId="0" fontId="20" fillId="4" borderId="2" xfId="3" applyFont="1" applyFill="1" applyBorder="1" applyAlignment="1" applyProtection="1">
      <alignment horizontal="left" vertical="top" wrapText="1"/>
      <protection hidden="1"/>
    </xf>
    <xf numFmtId="0" fontId="3" fillId="5" borderId="1" xfId="3" applyFont="1" applyFill="1" applyBorder="1" applyAlignment="1" applyProtection="1">
      <alignment horizontal="left" vertical="top" wrapText="1"/>
      <protection hidden="1"/>
    </xf>
    <xf numFmtId="0" fontId="22" fillId="6" borderId="1" xfId="3" applyFont="1" applyFill="1" applyBorder="1" applyAlignment="1" applyProtection="1">
      <alignment horizontal="left" vertical="top" wrapText="1"/>
      <protection hidden="1"/>
    </xf>
    <xf numFmtId="0" fontId="20" fillId="4" borderId="1" xfId="3" applyFont="1" applyFill="1" applyBorder="1" applyAlignment="1" applyProtection="1">
      <alignment horizontal="left" vertical="top" wrapText="1"/>
      <protection hidden="1"/>
    </xf>
    <xf numFmtId="0" fontId="20" fillId="6" borderId="1" xfId="3" applyFont="1" applyFill="1" applyBorder="1" applyAlignment="1" applyProtection="1">
      <alignment horizontal="left" vertical="top" wrapText="1"/>
      <protection hidden="1"/>
    </xf>
    <xf numFmtId="0" fontId="20" fillId="6" borderId="2" xfId="3" applyFont="1" applyFill="1" applyBorder="1" applyAlignment="1" applyProtection="1">
      <alignment horizontal="left" vertical="top" wrapText="1"/>
      <protection hidden="1"/>
    </xf>
    <xf numFmtId="0" fontId="21" fillId="7" borderId="0" xfId="4" applyFont="1" applyFill="1" applyAlignment="1" applyProtection="1">
      <alignment horizontal="left" vertical="top" wrapText="1"/>
      <protection hidden="1"/>
    </xf>
    <xf numFmtId="0" fontId="21" fillId="7" borderId="74" xfId="3" applyFont="1" applyFill="1" applyBorder="1" applyAlignment="1" applyProtection="1">
      <alignment horizontal="left" vertical="top" wrapText="1"/>
      <protection hidden="1"/>
    </xf>
    <xf numFmtId="167" fontId="19" fillId="7" borderId="0" xfId="4" applyNumberFormat="1" applyFont="1" applyFill="1" applyAlignment="1" applyProtection="1">
      <alignment horizontal="left" vertical="top" wrapText="1"/>
      <protection hidden="1"/>
    </xf>
    <xf numFmtId="0" fontId="21" fillId="0" borderId="0" xfId="3" applyFont="1" applyAlignment="1" applyProtection="1">
      <alignment horizontal="left" vertical="top" wrapText="1"/>
      <protection hidden="1"/>
    </xf>
    <xf numFmtId="0" fontId="3" fillId="4" borderId="7" xfId="3" applyFont="1" applyFill="1" applyBorder="1" applyAlignment="1" applyProtection="1">
      <alignment horizontal="left" vertical="top" wrapText="1"/>
      <protection hidden="1"/>
    </xf>
    <xf numFmtId="0" fontId="3" fillId="0" borderId="7" xfId="3" applyFont="1" applyBorder="1" applyAlignment="1" applyProtection="1">
      <alignment horizontal="left" vertical="top" wrapText="1"/>
      <protection hidden="1"/>
    </xf>
    <xf numFmtId="167" fontId="21" fillId="0" borderId="7" xfId="3" applyNumberFormat="1" applyFont="1" applyBorder="1" applyAlignment="1" applyProtection="1">
      <alignment horizontal="left" vertical="top" wrapText="1"/>
      <protection hidden="1"/>
    </xf>
    <xf numFmtId="167" fontId="21" fillId="0" borderId="1" xfId="3" applyNumberFormat="1" applyFont="1" applyBorder="1" applyAlignment="1" applyProtection="1">
      <alignment horizontal="left" vertical="top" wrapText="1"/>
      <protection hidden="1"/>
    </xf>
    <xf numFmtId="0" fontId="19" fillId="0" borderId="1" xfId="3" applyFont="1" applyBorder="1" applyAlignment="1" applyProtection="1">
      <alignment horizontal="left" vertical="top" wrapText="1"/>
      <protection hidden="1"/>
    </xf>
    <xf numFmtId="0" fontId="3" fillId="4" borderId="2" xfId="3" applyFont="1" applyFill="1" applyBorder="1" applyAlignment="1" applyProtection="1">
      <alignment horizontal="left" vertical="top" wrapText="1"/>
      <protection hidden="1"/>
    </xf>
    <xf numFmtId="0" fontId="29" fillId="0" borderId="2" xfId="3" applyFont="1" applyBorder="1" applyAlignment="1" applyProtection="1">
      <alignment horizontal="left" vertical="top" wrapText="1"/>
      <protection hidden="1"/>
    </xf>
    <xf numFmtId="167" fontId="21" fillId="0" borderId="2" xfId="3" applyNumberFormat="1" applyFont="1" applyBorder="1" applyAlignment="1" applyProtection="1">
      <alignment horizontal="left" vertical="top" wrapText="1"/>
      <protection hidden="1"/>
    </xf>
    <xf numFmtId="0" fontId="29" fillId="0" borderId="7" xfId="3" applyFont="1" applyBorder="1" applyAlignment="1" applyProtection="1">
      <alignment horizontal="left" vertical="top" wrapText="1"/>
      <protection hidden="1"/>
    </xf>
    <xf numFmtId="167" fontId="21" fillId="0" borderId="0" xfId="3" applyNumberFormat="1" applyFont="1" applyAlignment="1" applyProtection="1">
      <alignment horizontal="left" vertical="top" wrapText="1"/>
      <protection hidden="1"/>
    </xf>
    <xf numFmtId="0" fontId="3" fillId="0" borderId="2" xfId="3" applyFont="1" applyBorder="1" applyAlignment="1" applyProtection="1">
      <alignment horizontal="left" vertical="top" wrapText="1"/>
      <protection hidden="1"/>
    </xf>
    <xf numFmtId="0" fontId="3" fillId="0" borderId="74" xfId="3" applyFont="1" applyBorder="1" applyAlignment="1" applyProtection="1">
      <alignment horizontal="left" vertical="top" wrapText="1"/>
      <protection hidden="1"/>
    </xf>
    <xf numFmtId="0" fontId="29" fillId="0" borderId="1" xfId="3" quotePrefix="1" applyFont="1" applyBorder="1" applyAlignment="1" applyProtection="1">
      <alignment horizontal="left" vertical="top" wrapText="1"/>
      <protection hidden="1"/>
    </xf>
    <xf numFmtId="167" fontId="21" fillId="0" borderId="1" xfId="3" quotePrefix="1" applyNumberFormat="1" applyFont="1" applyBorder="1" applyAlignment="1" applyProtection="1">
      <alignment horizontal="left" vertical="top" wrapText="1"/>
      <protection hidden="1"/>
    </xf>
    <xf numFmtId="0" fontId="3" fillId="4" borderId="6" xfId="3" applyFont="1" applyFill="1" applyBorder="1" applyAlignment="1" applyProtection="1">
      <alignment horizontal="left" vertical="top" wrapText="1"/>
      <protection hidden="1"/>
    </xf>
    <xf numFmtId="0" fontId="29" fillId="0" borderId="6" xfId="3" applyFont="1" applyBorder="1" applyAlignment="1" applyProtection="1">
      <alignment horizontal="left" vertical="top" wrapText="1"/>
      <protection hidden="1"/>
    </xf>
    <xf numFmtId="167" fontId="21" fillId="0" borderId="6" xfId="3" applyNumberFormat="1" applyFont="1" applyBorder="1" applyAlignment="1" applyProtection="1">
      <alignment horizontal="left" vertical="top" wrapText="1"/>
      <protection hidden="1"/>
    </xf>
    <xf numFmtId="0" fontId="29" fillId="0" borderId="0" xfId="3" applyFont="1" applyAlignment="1" applyProtection="1">
      <alignment horizontal="left" vertical="top" wrapText="1"/>
      <protection hidden="1"/>
    </xf>
    <xf numFmtId="0" fontId="3" fillId="0" borderId="6" xfId="3" applyFont="1" applyBorder="1" applyAlignment="1" applyProtection="1">
      <alignment horizontal="left" vertical="top" wrapText="1"/>
      <protection hidden="1"/>
    </xf>
    <xf numFmtId="0" fontId="21" fillId="7" borderId="0" xfId="6" applyFont="1" applyFill="1" applyAlignment="1" applyProtection="1">
      <alignment horizontal="left" vertical="top" wrapText="1"/>
      <protection hidden="1"/>
    </xf>
    <xf numFmtId="167" fontId="19" fillId="7" borderId="0" xfId="6" applyNumberFormat="1" applyFont="1" applyFill="1" applyAlignment="1" applyProtection="1">
      <alignment horizontal="left" vertical="top" wrapText="1"/>
      <protection hidden="1"/>
    </xf>
    <xf numFmtId="0" fontId="19" fillId="7" borderId="0" xfId="3" applyFont="1" applyFill="1" applyAlignment="1" applyProtection="1">
      <alignment horizontal="left" vertical="top" wrapText="1"/>
      <protection hidden="1"/>
    </xf>
    <xf numFmtId="0" fontId="29" fillId="0" borderId="7" xfId="6" applyFont="1" applyBorder="1" applyAlignment="1" applyProtection="1">
      <alignment horizontal="left" vertical="top" wrapText="1"/>
      <protection hidden="1"/>
    </xf>
    <xf numFmtId="167" fontId="21" fillId="0" borderId="7" xfId="6" applyNumberFormat="1" applyFont="1" applyBorder="1" applyAlignment="1" applyProtection="1">
      <alignment horizontal="left" vertical="top" wrapText="1"/>
      <protection hidden="1"/>
    </xf>
    <xf numFmtId="0" fontId="29" fillId="0" borderId="1" xfId="6" applyFont="1" applyBorder="1" applyAlignment="1" applyProtection="1">
      <alignment horizontal="left" vertical="top" wrapText="1"/>
      <protection hidden="1"/>
    </xf>
    <xf numFmtId="167" fontId="21" fillId="0" borderId="1" xfId="6" applyNumberFormat="1" applyFont="1" applyBorder="1" applyAlignment="1" applyProtection="1">
      <alignment horizontal="left" vertical="top" wrapText="1"/>
      <protection hidden="1"/>
    </xf>
    <xf numFmtId="167" fontId="29" fillId="0" borderId="1" xfId="3" applyNumberFormat="1" applyFont="1" applyBorder="1" applyAlignment="1" applyProtection="1">
      <alignment horizontal="left" vertical="top" wrapText="1"/>
      <protection hidden="1"/>
    </xf>
    <xf numFmtId="0" fontId="3" fillId="4" borderId="0" xfId="3" applyFont="1" applyFill="1" applyAlignment="1" applyProtection="1">
      <alignment horizontal="left" vertical="top" wrapText="1"/>
      <protection hidden="1"/>
    </xf>
    <xf numFmtId="167" fontId="3" fillId="0" borderId="0" xfId="3" applyNumberFormat="1" applyFont="1" applyAlignment="1" applyProtection="1">
      <alignment horizontal="left" vertical="top" wrapText="1"/>
      <protection hidden="1"/>
    </xf>
    <xf numFmtId="0" fontId="26" fillId="4" borderId="2" xfId="3" applyFont="1" applyFill="1" applyBorder="1" applyAlignment="1" applyProtection="1">
      <alignment vertical="center" wrapText="1"/>
      <protection hidden="1"/>
    </xf>
    <xf numFmtId="0" fontId="26" fillId="0" borderId="75" xfId="3" applyFont="1" applyBorder="1" applyAlignment="1" applyProtection="1">
      <alignment vertical="center" wrapText="1"/>
      <protection hidden="1"/>
    </xf>
    <xf numFmtId="0" fontId="26" fillId="0" borderId="2" xfId="3" applyFont="1" applyBorder="1" applyAlignment="1" applyProtection="1">
      <alignment horizontal="left" vertical="top" wrapText="1"/>
      <protection hidden="1"/>
    </xf>
    <xf numFmtId="167" fontId="31" fillId="0" borderId="2" xfId="3" applyNumberFormat="1" applyFont="1" applyBorder="1" applyAlignment="1" applyProtection="1">
      <alignment vertical="center" wrapText="1"/>
      <protection hidden="1"/>
    </xf>
    <xf numFmtId="0" fontId="26" fillId="0" borderId="0" xfId="3" applyFont="1" applyAlignment="1" applyProtection="1">
      <alignment vertical="center" wrapText="1"/>
      <protection hidden="1"/>
    </xf>
    <xf numFmtId="0" fontId="36" fillId="0" borderId="0" xfId="3" applyFont="1" applyAlignment="1" applyProtection="1">
      <alignment vertical="center" wrapText="1"/>
      <protection hidden="1"/>
    </xf>
    <xf numFmtId="167" fontId="36" fillId="0" borderId="0" xfId="3" applyNumberFormat="1" applyFont="1" applyAlignment="1" applyProtection="1">
      <alignment vertical="center" wrapText="1"/>
      <protection hidden="1"/>
    </xf>
    <xf numFmtId="0" fontId="2" fillId="0" borderId="0" xfId="27"/>
    <xf numFmtId="0" fontId="2" fillId="48" borderId="0" xfId="27" applyFill="1"/>
    <xf numFmtId="0" fontId="21" fillId="48" borderId="0" xfId="27" applyFont="1" applyFill="1" applyAlignment="1">
      <alignment vertical="top"/>
    </xf>
    <xf numFmtId="0" fontId="28" fillId="0" borderId="0" xfId="27" applyFont="1" applyAlignment="1" applyProtection="1">
      <alignment horizontal="right" vertical="center"/>
      <protection locked="0"/>
    </xf>
    <xf numFmtId="0" fontId="34" fillId="5" borderId="1" xfId="3" applyFont="1" applyFill="1" applyBorder="1" applyAlignment="1" applyProtection="1">
      <alignment horizontal="left" vertical="top" wrapText="1"/>
      <protection locked="0"/>
    </xf>
    <xf numFmtId="0" fontId="39" fillId="0" borderId="0" xfId="18" applyFont="1" applyAlignment="1" applyProtection="1">
      <alignment vertical="center"/>
      <protection hidden="1"/>
    </xf>
    <xf numFmtId="0" fontId="40" fillId="0" borderId="3" xfId="18" applyFont="1" applyBorder="1" applyAlignment="1" applyProtection="1">
      <alignment horizontal="left" vertical="center"/>
      <protection hidden="1"/>
    </xf>
    <xf numFmtId="0" fontId="40" fillId="0" borderId="3" xfId="18" applyFont="1" applyBorder="1" applyAlignment="1" applyProtection="1">
      <alignment vertical="center"/>
      <protection hidden="1"/>
    </xf>
    <xf numFmtId="0" fontId="41" fillId="0" borderId="0" xfId="0" applyFont="1" applyAlignment="1" applyProtection="1">
      <alignment vertical="center"/>
      <protection hidden="1"/>
    </xf>
    <xf numFmtId="0" fontId="42" fillId="0" borderId="0" xfId="18" applyFont="1" applyAlignment="1" applyProtection="1">
      <alignment vertical="center"/>
      <protection hidden="1"/>
    </xf>
    <xf numFmtId="0" fontId="43" fillId="0" borderId="0" xfId="0" applyFont="1" applyProtection="1">
      <protection hidden="1"/>
    </xf>
    <xf numFmtId="0" fontId="44" fillId="0" borderId="0" xfId="18" applyFont="1" applyProtection="1">
      <protection hidden="1"/>
    </xf>
    <xf numFmtId="0" fontId="45" fillId="0" borderId="0" xfId="18" applyFont="1" applyProtection="1">
      <protection hidden="1"/>
    </xf>
    <xf numFmtId="0" fontId="46" fillId="0" borderId="4" xfId="18" applyFont="1" applyBorder="1" applyAlignment="1" applyProtection="1">
      <alignment vertical="top"/>
      <protection hidden="1"/>
    </xf>
    <xf numFmtId="0" fontId="47" fillId="0" borderId="0" xfId="18" applyFont="1" applyProtection="1">
      <protection hidden="1"/>
    </xf>
    <xf numFmtId="0" fontId="48" fillId="0" borderId="0" xfId="5" applyFont="1" applyAlignment="1" applyProtection="1">
      <protection hidden="1"/>
    </xf>
    <xf numFmtId="0" fontId="49" fillId="0" borderId="0" xfId="0" applyFont="1" applyAlignment="1" applyProtection="1">
      <alignment vertical="center"/>
      <protection hidden="1"/>
    </xf>
    <xf numFmtId="0" fontId="43" fillId="0" borderId="0" xfId="0" applyFont="1" applyAlignment="1" applyProtection="1">
      <alignment horizontal="left" vertical="center" indent="1"/>
      <protection hidden="1"/>
    </xf>
    <xf numFmtId="0" fontId="50" fillId="0" borderId="0" xfId="0" applyFont="1" applyAlignment="1" applyProtection="1">
      <alignment horizontal="left" vertical="top"/>
      <protection hidden="1"/>
    </xf>
    <xf numFmtId="0" fontId="50" fillId="0" borderId="0" xfId="18" applyFont="1" applyAlignment="1" applyProtection="1">
      <alignment horizontal="center" vertical="center"/>
      <protection hidden="1"/>
    </xf>
    <xf numFmtId="0" fontId="45" fillId="0" borderId="0" xfId="18" applyFont="1" applyAlignment="1" applyProtection="1">
      <alignment horizontal="center" vertical="center"/>
      <protection hidden="1"/>
    </xf>
    <xf numFmtId="0" fontId="54" fillId="0" borderId="0" xfId="18" applyFont="1" applyAlignment="1" applyProtection="1">
      <alignment horizontal="right" vertical="center"/>
      <protection hidden="1"/>
    </xf>
    <xf numFmtId="0" fontId="56" fillId="0" borderId="0" xfId="18" applyFont="1" applyProtection="1">
      <protection hidden="1"/>
    </xf>
    <xf numFmtId="0" fontId="44" fillId="0" borderId="0" xfId="0" applyFont="1" applyProtection="1">
      <protection locked="0" hidden="1"/>
    </xf>
    <xf numFmtId="0" fontId="44" fillId="0" borderId="0" xfId="0" applyFont="1" applyProtection="1">
      <protection hidden="1"/>
    </xf>
    <xf numFmtId="0" fontId="40" fillId="0" borderId="3" xfId="0" applyFont="1" applyBorder="1" applyAlignment="1" applyProtection="1">
      <alignment vertical="center"/>
      <protection hidden="1"/>
    </xf>
    <xf numFmtId="0" fontId="46" fillId="0" borderId="3" xfId="0" applyFont="1" applyBorder="1" applyAlignment="1">
      <alignment horizontal="right" vertical="center"/>
    </xf>
    <xf numFmtId="0" fontId="40" fillId="0" borderId="0" xfId="0" applyFont="1" applyAlignment="1" applyProtection="1">
      <alignment vertical="center"/>
      <protection hidden="1"/>
    </xf>
    <xf numFmtId="0" fontId="42" fillId="0" borderId="0" xfId="0" applyFont="1" applyAlignment="1" applyProtection="1">
      <alignment vertical="center"/>
      <protection hidden="1"/>
    </xf>
    <xf numFmtId="0" fontId="43" fillId="0" borderId="0" xfId="6" applyFont="1" applyProtection="1">
      <protection hidden="1"/>
    </xf>
    <xf numFmtId="0" fontId="43" fillId="0" borderId="0" xfId="0" applyFont="1" applyProtection="1">
      <protection locked="0" hidden="1"/>
    </xf>
    <xf numFmtId="0" fontId="46" fillId="0" borderId="0" xfId="0" applyFont="1" applyAlignment="1">
      <alignment vertical="top"/>
    </xf>
    <xf numFmtId="0" fontId="50" fillId="0" borderId="0" xfId="0" applyFont="1" applyProtection="1">
      <protection hidden="1"/>
    </xf>
    <xf numFmtId="0" fontId="57" fillId="0" borderId="0" xfId="5" applyFont="1" applyAlignment="1" applyProtection="1">
      <protection locked="0" hidden="1"/>
    </xf>
    <xf numFmtId="0" fontId="58" fillId="0" borderId="0" xfId="0" applyFont="1" applyProtection="1">
      <protection locked="0" hidden="1"/>
    </xf>
    <xf numFmtId="0" fontId="59" fillId="0" borderId="0" xfId="0" applyFont="1" applyAlignment="1" applyProtection="1">
      <alignment vertical="center"/>
      <protection hidden="1"/>
    </xf>
    <xf numFmtId="0" fontId="60" fillId="19" borderId="0" xfId="0" applyFont="1" applyFill="1" applyAlignment="1" applyProtection="1">
      <alignment horizontal="center" vertical="center"/>
      <protection hidden="1"/>
    </xf>
    <xf numFmtId="0" fontId="61" fillId="19" borderId="0" xfId="0" applyFont="1" applyFill="1" applyAlignment="1" applyProtection="1">
      <alignment vertical="center"/>
      <protection hidden="1"/>
    </xf>
    <xf numFmtId="0" fontId="43" fillId="19" borderId="0" xfId="0" applyFont="1" applyFill="1" applyProtection="1">
      <protection hidden="1"/>
    </xf>
    <xf numFmtId="0" fontId="43" fillId="18" borderId="0" xfId="0" applyFont="1" applyFill="1" applyProtection="1">
      <protection hidden="1"/>
    </xf>
    <xf numFmtId="0" fontId="43" fillId="18" borderId="42" xfId="0" applyFont="1" applyFill="1" applyBorder="1" applyProtection="1">
      <protection hidden="1"/>
    </xf>
    <xf numFmtId="0" fontId="43" fillId="0" borderId="0" xfId="0" applyFont="1"/>
    <xf numFmtId="0" fontId="60" fillId="11" borderId="0" xfId="0" applyFont="1" applyFill="1" applyAlignment="1" applyProtection="1">
      <alignment horizontal="center" vertical="center"/>
      <protection hidden="1"/>
    </xf>
    <xf numFmtId="0" fontId="61" fillId="11" borderId="0" xfId="0" applyFont="1" applyFill="1" applyAlignment="1" applyProtection="1">
      <alignment vertical="center"/>
      <protection hidden="1"/>
    </xf>
    <xf numFmtId="0" fontId="43" fillId="11" borderId="0" xfId="0" applyFont="1" applyFill="1" applyProtection="1">
      <protection hidden="1"/>
    </xf>
    <xf numFmtId="0" fontId="43" fillId="12" borderId="0" xfId="0" applyFont="1" applyFill="1" applyProtection="1">
      <protection hidden="1"/>
    </xf>
    <xf numFmtId="0" fontId="43" fillId="12" borderId="43" xfId="0" applyFont="1" applyFill="1" applyBorder="1" applyProtection="1">
      <protection hidden="1"/>
    </xf>
    <xf numFmtId="0" fontId="40" fillId="0" borderId="3" xfId="3" applyFont="1" applyBorder="1" applyAlignment="1" applyProtection="1">
      <alignment vertical="center"/>
      <protection hidden="1"/>
    </xf>
    <xf numFmtId="0" fontId="62" fillId="0" borderId="3" xfId="3" applyFont="1" applyBorder="1" applyAlignment="1" applyProtection="1">
      <alignment vertical="center"/>
      <protection hidden="1"/>
    </xf>
    <xf numFmtId="0" fontId="63" fillId="9" borderId="3" xfId="3" applyFont="1" applyFill="1" applyBorder="1" applyAlignment="1" applyProtection="1">
      <alignment vertical="center"/>
      <protection hidden="1"/>
    </xf>
    <xf numFmtId="0" fontId="64" fillId="0" borderId="3" xfId="3" applyFont="1" applyBorder="1" applyAlignment="1" applyProtection="1">
      <alignment vertical="center"/>
      <protection hidden="1"/>
    </xf>
    <xf numFmtId="0" fontId="46" fillId="0" borderId="3" xfId="3" applyFont="1" applyBorder="1" applyAlignment="1" applyProtection="1">
      <alignment horizontal="right" vertical="center"/>
      <protection hidden="1"/>
    </xf>
    <xf numFmtId="0" fontId="42" fillId="0" borderId="0" xfId="3" applyFont="1" applyAlignment="1" applyProtection="1">
      <alignment vertical="center"/>
      <protection hidden="1"/>
    </xf>
    <xf numFmtId="0" fontId="44" fillId="0" borderId="0" xfId="3" applyFont="1" applyProtection="1">
      <protection hidden="1"/>
    </xf>
    <xf numFmtId="0" fontId="45" fillId="0" borderId="0" xfId="3" applyFont="1" applyProtection="1">
      <protection hidden="1"/>
    </xf>
    <xf numFmtId="0" fontId="65" fillId="0" borderId="0" xfId="3" applyFont="1" applyAlignment="1" applyProtection="1">
      <alignment vertical="top" textRotation="90" shrinkToFit="1"/>
      <protection hidden="1"/>
    </xf>
    <xf numFmtId="0" fontId="46" fillId="0" borderId="0" xfId="3" applyFont="1" applyAlignment="1" applyProtection="1">
      <alignment vertical="top"/>
      <protection hidden="1"/>
    </xf>
    <xf numFmtId="0" fontId="66" fillId="0" borderId="0" xfId="3" applyFont="1" applyAlignment="1" applyProtection="1">
      <alignment wrapText="1"/>
      <protection hidden="1"/>
    </xf>
    <xf numFmtId="0" fontId="50" fillId="0" borderId="0" xfId="3" applyFont="1" applyAlignment="1" applyProtection="1">
      <alignment vertical="top"/>
      <protection hidden="1"/>
    </xf>
    <xf numFmtId="0" fontId="45" fillId="0" borderId="0" xfId="3" applyFont="1"/>
    <xf numFmtId="0" fontId="45" fillId="0" borderId="0" xfId="3" applyFont="1" applyAlignment="1" applyProtection="1">
      <alignment vertical="top"/>
      <protection hidden="1"/>
    </xf>
    <xf numFmtId="0" fontId="39" fillId="0" borderId="3" xfId="25" applyFont="1" applyBorder="1" applyAlignment="1" applyProtection="1">
      <alignment vertical="center"/>
      <protection hidden="1"/>
    </xf>
    <xf numFmtId="0" fontId="40" fillId="0" borderId="3" xfId="25" applyFont="1" applyBorder="1" applyAlignment="1" applyProtection="1">
      <alignment horizontal="left" vertical="center"/>
      <protection hidden="1"/>
    </xf>
    <xf numFmtId="0" fontId="40" fillId="0" borderId="3" xfId="25" applyFont="1" applyBorder="1" applyAlignment="1" applyProtection="1">
      <alignment vertical="center"/>
      <protection hidden="1"/>
    </xf>
    <xf numFmtId="0" fontId="64" fillId="0" borderId="3" xfId="25" applyFont="1" applyBorder="1" applyAlignment="1" applyProtection="1">
      <alignment vertical="center"/>
      <protection hidden="1"/>
    </xf>
    <xf numFmtId="0" fontId="67" fillId="0" borderId="3" xfId="25" applyFont="1" applyBorder="1" applyAlignment="1" applyProtection="1">
      <alignment vertical="center"/>
      <protection hidden="1"/>
    </xf>
    <xf numFmtId="0" fontId="46" fillId="0" borderId="3" xfId="18" applyFont="1" applyBorder="1" applyAlignment="1">
      <alignment horizontal="right" vertical="center"/>
    </xf>
    <xf numFmtId="0" fontId="42" fillId="0" borderId="0" xfId="25" applyFont="1" applyAlignment="1" applyProtection="1">
      <alignment vertical="center"/>
      <protection hidden="1"/>
    </xf>
    <xf numFmtId="0" fontId="44" fillId="0" borderId="0" xfId="25" applyFont="1" applyProtection="1">
      <protection hidden="1"/>
    </xf>
    <xf numFmtId="0" fontId="45" fillId="0" borderId="0" xfId="25" applyFont="1" applyProtection="1">
      <protection hidden="1"/>
    </xf>
    <xf numFmtId="0" fontId="46" fillId="0" borderId="4" xfId="25" applyFont="1" applyBorder="1" applyAlignment="1" applyProtection="1">
      <alignment vertical="top"/>
      <protection hidden="1"/>
    </xf>
    <xf numFmtId="0" fontId="47" fillId="0" borderId="0" xfId="25" applyFont="1" applyProtection="1">
      <protection hidden="1"/>
    </xf>
    <xf numFmtId="0" fontId="45" fillId="0" borderId="0" xfId="25" applyFont="1"/>
    <xf numFmtId="0" fontId="50" fillId="0" borderId="0" xfId="25" applyFont="1" applyAlignment="1" applyProtection="1">
      <alignment horizontal="center" vertical="center"/>
      <protection hidden="1"/>
    </xf>
    <xf numFmtId="0" fontId="45" fillId="0" borderId="0" xfId="25" applyFont="1" applyAlignment="1" applyProtection="1">
      <alignment horizontal="center" vertical="center"/>
      <protection hidden="1"/>
    </xf>
    <xf numFmtId="0" fontId="56" fillId="0" borderId="0" xfId="25" applyFont="1" applyProtection="1">
      <protection hidden="1"/>
    </xf>
    <xf numFmtId="0" fontId="39" fillId="0" borderId="3" xfId="0" applyFont="1" applyBorder="1" applyAlignment="1" applyProtection="1">
      <alignment vertical="center"/>
      <protection hidden="1"/>
    </xf>
    <xf numFmtId="167" fontId="42" fillId="0" borderId="0" xfId="3" applyNumberFormat="1" applyFont="1" applyAlignment="1" applyProtection="1">
      <alignment vertical="center"/>
      <protection hidden="1"/>
    </xf>
    <xf numFmtId="0" fontId="39" fillId="0" borderId="0" xfId="0" applyFont="1" applyAlignment="1" applyProtection="1">
      <alignment vertical="center"/>
      <protection locked="0" hidden="1"/>
    </xf>
    <xf numFmtId="0" fontId="40" fillId="0" borderId="0" xfId="0" applyFont="1" applyAlignment="1" applyProtection="1">
      <alignment vertical="center"/>
      <protection locked="0" hidden="1"/>
    </xf>
    <xf numFmtId="0" fontId="42" fillId="0" borderId="0" xfId="0" applyFont="1" applyAlignment="1" applyProtection="1">
      <alignment vertical="center"/>
      <protection locked="0" hidden="1"/>
    </xf>
    <xf numFmtId="0" fontId="46" fillId="0" borderId="0" xfId="0" applyFont="1" applyAlignment="1">
      <alignment horizontal="left" vertical="top"/>
    </xf>
    <xf numFmtId="167" fontId="45" fillId="0" borderId="0" xfId="3" applyNumberFormat="1" applyFont="1" applyProtection="1">
      <protection hidden="1"/>
    </xf>
    <xf numFmtId="0" fontId="57" fillId="0" borderId="0" xfId="5" applyFont="1" applyAlignment="1" applyProtection="1">
      <protection hidden="1"/>
    </xf>
    <xf numFmtId="0" fontId="65" fillId="0" borderId="0" xfId="0" applyFont="1" applyAlignment="1">
      <alignment vertical="top" textRotation="90" shrinkToFit="1"/>
    </xf>
    <xf numFmtId="0" fontId="65" fillId="0" borderId="0" xfId="0" applyFont="1" applyAlignment="1">
      <alignment horizontal="center" vertical="top" textRotation="90" shrinkToFit="1"/>
    </xf>
    <xf numFmtId="0" fontId="69" fillId="10" borderId="0" xfId="0" applyFont="1" applyFill="1" applyAlignment="1">
      <alignment vertical="top"/>
    </xf>
    <xf numFmtId="0" fontId="61" fillId="11" borderId="55" xfId="0" applyFont="1" applyFill="1" applyBorder="1" applyAlignment="1">
      <alignment vertical="top" wrapText="1"/>
    </xf>
    <xf numFmtId="0" fontId="61" fillId="11" borderId="56" xfId="0" applyFont="1" applyFill="1" applyBorder="1" applyAlignment="1">
      <alignment vertical="top" wrapText="1"/>
    </xf>
    <xf numFmtId="0" fontId="70" fillId="11" borderId="57" xfId="0" applyFont="1" applyFill="1" applyBorder="1" applyAlignment="1">
      <alignment vertical="top" wrapText="1"/>
    </xf>
    <xf numFmtId="167" fontId="44" fillId="0" borderId="0" xfId="3" applyNumberFormat="1" applyFont="1" applyAlignment="1" applyProtection="1">
      <alignment vertical="top"/>
      <protection hidden="1"/>
    </xf>
    <xf numFmtId="0" fontId="44" fillId="0" borderId="0" xfId="0" applyFont="1" applyAlignment="1">
      <alignment vertical="top"/>
    </xf>
    <xf numFmtId="0" fontId="44" fillId="0" borderId="58" xfId="0" applyFont="1" applyBorder="1" applyAlignment="1">
      <alignment horizontal="center" vertical="top"/>
    </xf>
    <xf numFmtId="0" fontId="44" fillId="0" borderId="59" xfId="0" applyFont="1" applyBorder="1" applyAlignment="1" applyProtection="1">
      <alignment horizontal="left" vertical="top" wrapText="1"/>
      <protection locked="0"/>
    </xf>
    <xf numFmtId="9" fontId="44" fillId="0" borderId="59" xfId="0" applyNumberFormat="1" applyFont="1" applyBorder="1" applyAlignment="1" applyProtection="1">
      <alignment horizontal="left" vertical="top" wrapText="1"/>
      <protection locked="0"/>
    </xf>
    <xf numFmtId="1" fontId="71" fillId="0" borderId="59" xfId="0" applyNumberFormat="1" applyFont="1" applyBorder="1" applyAlignment="1" applyProtection="1">
      <alignment horizontal="center" vertical="center" wrapText="1"/>
      <protection locked="0"/>
    </xf>
    <xf numFmtId="0" fontId="59" fillId="0" borderId="60" xfId="0" applyFont="1" applyBorder="1" applyAlignment="1" applyProtection="1">
      <alignment horizontal="center" vertical="center" wrapText="1"/>
      <protection locked="0"/>
    </xf>
    <xf numFmtId="167" fontId="44" fillId="0" borderId="0" xfId="3" applyNumberFormat="1" applyFont="1" applyProtection="1">
      <protection hidden="1"/>
    </xf>
    <xf numFmtId="0" fontId="44" fillId="0" borderId="0" xfId="0" applyFont="1"/>
    <xf numFmtId="0" fontId="72" fillId="0" borderId="0" xfId="0" applyFont="1"/>
    <xf numFmtId="0" fontId="44" fillId="22" borderId="62" xfId="0" applyFont="1" applyFill="1" applyBorder="1" applyAlignment="1" applyProtection="1">
      <alignment horizontal="center" vertical="top"/>
      <protection hidden="1"/>
    </xf>
    <xf numFmtId="49" fontId="44" fillId="22" borderId="63" xfId="0" applyNumberFormat="1" applyFont="1" applyFill="1" applyBorder="1" applyAlignment="1" applyProtection="1">
      <alignment horizontal="right" vertical="center" wrapText="1"/>
      <protection hidden="1"/>
    </xf>
    <xf numFmtId="9" fontId="70" fillId="22" borderId="63" xfId="0" applyNumberFormat="1" applyFont="1" applyFill="1" applyBorder="1" applyAlignment="1" applyProtection="1">
      <alignment horizontal="center" vertical="center"/>
      <protection hidden="1"/>
    </xf>
    <xf numFmtId="1" fontId="59" fillId="22" borderId="63" xfId="0" applyNumberFormat="1" applyFont="1" applyFill="1" applyBorder="1" applyAlignment="1" applyProtection="1">
      <alignment horizontal="center" vertical="center" wrapText="1"/>
      <protection hidden="1"/>
    </xf>
    <xf numFmtId="1" fontId="59" fillId="22" borderId="64" xfId="0" applyNumberFormat="1" applyFont="1" applyFill="1" applyBorder="1" applyAlignment="1" applyProtection="1">
      <alignment horizontal="center" vertical="center" wrapText="1"/>
      <protection hidden="1"/>
    </xf>
    <xf numFmtId="0" fontId="44" fillId="12" borderId="62" xfId="0" applyFont="1" applyFill="1" applyBorder="1" applyAlignment="1" applyProtection="1">
      <alignment horizontal="center" vertical="top"/>
      <protection hidden="1"/>
    </xf>
    <xf numFmtId="49" fontId="44" fillId="12" borderId="63" xfId="0" applyNumberFormat="1" applyFont="1" applyFill="1" applyBorder="1" applyAlignment="1" applyProtection="1">
      <alignment horizontal="right" vertical="center" wrapText="1"/>
      <protection hidden="1"/>
    </xf>
    <xf numFmtId="9" fontId="70" fillId="12" borderId="63" xfId="0" applyNumberFormat="1" applyFont="1" applyFill="1" applyBorder="1" applyAlignment="1" applyProtection="1">
      <alignment horizontal="center" vertical="center"/>
      <protection hidden="1"/>
    </xf>
    <xf numFmtId="1" fontId="59" fillId="12" borderId="63" xfId="0" applyNumberFormat="1" applyFont="1" applyFill="1" applyBorder="1" applyAlignment="1" applyProtection="1">
      <alignment horizontal="center" vertical="center" wrapText="1"/>
      <protection hidden="1"/>
    </xf>
    <xf numFmtId="1" fontId="59" fillId="12" borderId="64" xfId="0" applyNumberFormat="1" applyFont="1" applyFill="1" applyBorder="1" applyAlignment="1" applyProtection="1">
      <alignment horizontal="center" vertical="center" wrapText="1"/>
      <protection hidden="1"/>
    </xf>
    <xf numFmtId="0" fontId="39" fillId="0" borderId="3" xfId="3" applyFont="1" applyBorder="1" applyAlignment="1" applyProtection="1">
      <alignment vertical="center"/>
      <protection hidden="1"/>
    </xf>
    <xf numFmtId="0" fontId="73" fillId="0" borderId="3" xfId="3" applyFont="1" applyBorder="1" applyAlignment="1" applyProtection="1">
      <alignment vertical="center"/>
      <protection hidden="1"/>
    </xf>
    <xf numFmtId="0" fontId="74" fillId="0" borderId="3" xfId="3" applyFont="1" applyBorder="1" applyAlignment="1" applyProtection="1">
      <alignment horizontal="right" vertical="center"/>
      <protection hidden="1"/>
    </xf>
    <xf numFmtId="0" fontId="46" fillId="0" borderId="3" xfId="18" applyFont="1" applyBorder="1" applyAlignment="1" applyProtection="1">
      <alignment horizontal="right" vertical="center"/>
      <protection hidden="1"/>
    </xf>
    <xf numFmtId="0" fontId="75" fillId="0" borderId="0" xfId="3" applyFont="1" applyProtection="1">
      <protection hidden="1"/>
    </xf>
    <xf numFmtId="0" fontId="76" fillId="0" borderId="0" xfId="3" applyFont="1" applyAlignment="1" applyProtection="1">
      <alignment vertical="top"/>
      <protection hidden="1"/>
    </xf>
    <xf numFmtId="0" fontId="77" fillId="0" borderId="0" xfId="3" applyFont="1" applyProtection="1">
      <protection hidden="1"/>
    </xf>
    <xf numFmtId="0" fontId="78" fillId="0" borderId="0" xfId="5" applyFont="1" applyAlignment="1" applyProtection="1">
      <protection hidden="1"/>
    </xf>
    <xf numFmtId="0" fontId="75" fillId="9" borderId="0" xfId="3" applyFont="1" applyFill="1" applyProtection="1">
      <protection hidden="1"/>
    </xf>
    <xf numFmtId="0" fontId="77" fillId="9" borderId="0" xfId="3" applyFont="1" applyFill="1" applyProtection="1">
      <protection hidden="1"/>
    </xf>
    <xf numFmtId="0" fontId="79" fillId="10" borderId="55" xfId="3" applyFont="1" applyFill="1" applyBorder="1" applyAlignment="1" applyProtection="1">
      <alignment vertical="top" wrapText="1"/>
      <protection hidden="1"/>
    </xf>
    <xf numFmtId="0" fontId="79" fillId="10" borderId="56" xfId="3" applyFont="1" applyFill="1" applyBorder="1" applyAlignment="1" applyProtection="1">
      <alignment vertical="top" wrapText="1"/>
      <protection hidden="1"/>
    </xf>
    <xf numFmtId="0" fontId="79" fillId="10" borderId="57" xfId="3" applyFont="1" applyFill="1" applyBorder="1" applyAlignment="1" applyProtection="1">
      <alignment vertical="top" wrapText="1"/>
      <protection hidden="1"/>
    </xf>
    <xf numFmtId="0" fontId="58" fillId="0" borderId="0" xfId="0" applyFont="1" applyProtection="1">
      <protection hidden="1"/>
    </xf>
    <xf numFmtId="9" fontId="58" fillId="0" borderId="0" xfId="0" applyNumberFormat="1" applyFont="1" applyProtection="1">
      <protection hidden="1"/>
    </xf>
    <xf numFmtId="0" fontId="45" fillId="0" borderId="58" xfId="3" applyFont="1" applyBorder="1" applyAlignment="1" applyProtection="1">
      <alignment horizontal="left" vertical="top" wrapText="1"/>
      <protection hidden="1"/>
    </xf>
    <xf numFmtId="49" fontId="45" fillId="0" borderId="59" xfId="3" applyNumberFormat="1" applyFont="1" applyBorder="1" applyAlignment="1" applyProtection="1">
      <alignment horizontal="left" vertical="top" wrapText="1"/>
      <protection locked="0"/>
    </xf>
    <xf numFmtId="0" fontId="45" fillId="0" borderId="60" xfId="3" applyFont="1" applyBorder="1" applyAlignment="1" applyProtection="1">
      <alignment horizontal="left" vertical="top" wrapText="1"/>
      <protection locked="0"/>
    </xf>
    <xf numFmtId="0" fontId="77" fillId="0" borderId="0" xfId="0" applyFont="1" applyProtection="1">
      <protection hidden="1"/>
    </xf>
    <xf numFmtId="9" fontId="77" fillId="0" borderId="0" xfId="0" applyNumberFormat="1" applyFont="1" applyProtection="1">
      <protection hidden="1"/>
    </xf>
    <xf numFmtId="0" fontId="75" fillId="0" borderId="0" xfId="0" applyFont="1" applyProtection="1">
      <protection hidden="1"/>
    </xf>
    <xf numFmtId="0" fontId="45" fillId="0" borderId="62" xfId="3" applyFont="1" applyBorder="1" applyAlignment="1" applyProtection="1">
      <alignment horizontal="left" vertical="top" wrapText="1"/>
      <protection hidden="1"/>
    </xf>
    <xf numFmtId="49" fontId="45" fillId="0" borderId="63" xfId="3" applyNumberFormat="1" applyFont="1" applyBorder="1" applyAlignment="1" applyProtection="1">
      <alignment horizontal="left" vertical="top" wrapText="1"/>
      <protection locked="0"/>
    </xf>
    <xf numFmtId="0" fontId="45" fillId="0" borderId="64" xfId="3" applyFont="1" applyBorder="1" applyAlignment="1" applyProtection="1">
      <alignment horizontal="left" vertical="top" wrapText="1"/>
      <protection locked="0"/>
    </xf>
    <xf numFmtId="0" fontId="46" fillId="0" borderId="0" xfId="3" applyFont="1" applyAlignment="1" applyProtection="1">
      <alignment horizontal="left" vertical="top"/>
      <protection hidden="1"/>
    </xf>
    <xf numFmtId="0" fontId="46" fillId="0" borderId="4" xfId="3" applyFont="1" applyBorder="1" applyAlignment="1" applyProtection="1">
      <alignment horizontal="right" vertical="center"/>
      <protection hidden="1"/>
    </xf>
    <xf numFmtId="0" fontId="79" fillId="10" borderId="0" xfId="11" applyFont="1" applyFill="1" applyAlignment="1" applyProtection="1">
      <alignment vertical="center" wrapText="1"/>
      <protection hidden="1"/>
    </xf>
    <xf numFmtId="0" fontId="79" fillId="10" borderId="5" xfId="11" applyFont="1" applyFill="1" applyBorder="1" applyAlignment="1" applyProtection="1">
      <alignment vertical="center" wrapText="1"/>
      <protection hidden="1"/>
    </xf>
    <xf numFmtId="0" fontId="79" fillId="10" borderId="11" xfId="11" applyFont="1" applyFill="1" applyBorder="1" applyAlignment="1" applyProtection="1">
      <alignment vertical="center" wrapText="1"/>
      <protection hidden="1"/>
    </xf>
    <xf numFmtId="0" fontId="79" fillId="10" borderId="0" xfId="3" applyFont="1" applyFill="1" applyAlignment="1" applyProtection="1">
      <alignment vertical="top" wrapText="1"/>
      <protection hidden="1"/>
    </xf>
    <xf numFmtId="0" fontId="79" fillId="10" borderId="0" xfId="3" applyFont="1" applyFill="1" applyAlignment="1" applyProtection="1">
      <alignment horizontal="center" vertical="top"/>
      <protection hidden="1"/>
    </xf>
    <xf numFmtId="0" fontId="45" fillId="0" borderId="0" xfId="11" applyFont="1" applyAlignment="1" applyProtection="1">
      <alignment textRotation="90" wrapText="1"/>
      <protection hidden="1"/>
    </xf>
    <xf numFmtId="0" fontId="79" fillId="10" borderId="10" xfId="11" applyFont="1" applyFill="1" applyBorder="1" applyAlignment="1" applyProtection="1">
      <alignment vertical="center" wrapText="1"/>
      <protection locked="0"/>
    </xf>
    <xf numFmtId="0" fontId="79" fillId="10" borderId="12" xfId="11" applyFont="1" applyFill="1" applyBorder="1" applyAlignment="1" applyProtection="1">
      <alignment vertical="center" wrapText="1"/>
      <protection locked="0"/>
    </xf>
    <xf numFmtId="0" fontId="45" fillId="0" borderId="0" xfId="11" applyFont="1" applyAlignment="1" applyProtection="1">
      <alignment wrapText="1"/>
      <protection hidden="1"/>
    </xf>
    <xf numFmtId="0" fontId="45" fillId="0" borderId="38" xfId="11" applyFont="1" applyBorder="1" applyAlignment="1" applyProtection="1">
      <alignment vertical="center" wrapText="1"/>
      <protection hidden="1"/>
    </xf>
    <xf numFmtId="0" fontId="45" fillId="0" borderId="36" xfId="11" applyFont="1" applyBorder="1" applyAlignment="1" applyProtection="1">
      <alignment horizontal="center" vertical="center" wrapText="1"/>
      <protection locked="0"/>
    </xf>
    <xf numFmtId="0" fontId="45" fillId="0" borderId="37" xfId="11" applyFont="1" applyBorder="1" applyAlignment="1" applyProtection="1">
      <alignment horizontal="center" vertical="center" wrapText="1"/>
      <protection locked="0"/>
    </xf>
    <xf numFmtId="0" fontId="45" fillId="0" borderId="0" xfId="11" applyFont="1" applyAlignment="1" applyProtection="1">
      <alignment vertical="center" wrapText="1"/>
      <protection hidden="1"/>
    </xf>
    <xf numFmtId="0" fontId="80" fillId="23" borderId="30" xfId="11" applyFont="1" applyFill="1" applyBorder="1" applyAlignment="1" applyProtection="1">
      <alignment vertical="center" wrapText="1"/>
      <protection hidden="1"/>
    </xf>
    <xf numFmtId="9" fontId="80" fillId="23" borderId="28" xfId="11" applyNumberFormat="1" applyFont="1" applyFill="1" applyBorder="1" applyAlignment="1" applyProtection="1">
      <alignment horizontal="center" vertical="center" wrapText="1"/>
      <protection hidden="1"/>
    </xf>
    <xf numFmtId="9" fontId="80" fillId="23" borderId="29" xfId="11" applyNumberFormat="1" applyFont="1" applyFill="1" applyBorder="1" applyAlignment="1" applyProtection="1">
      <alignment horizontal="center" vertical="center" wrapText="1"/>
      <protection hidden="1"/>
    </xf>
    <xf numFmtId="0" fontId="45" fillId="0" borderId="30" xfId="11" applyFont="1" applyBorder="1" applyAlignment="1" applyProtection="1">
      <alignment vertical="center" wrapText="1"/>
      <protection hidden="1"/>
    </xf>
    <xf numFmtId="0" fontId="45" fillId="0" borderId="28" xfId="11" applyFont="1" applyBorder="1" applyAlignment="1" applyProtection="1">
      <alignment horizontal="center" vertical="center" wrapText="1"/>
      <protection locked="0"/>
    </xf>
    <xf numFmtId="0" fontId="45" fillId="0" borderId="29" xfId="11" applyFont="1" applyBorder="1" applyAlignment="1" applyProtection="1">
      <alignment horizontal="center" vertical="center" wrapText="1"/>
      <protection locked="0"/>
    </xf>
    <xf numFmtId="0" fontId="80" fillId="23" borderId="34" xfId="11" applyFont="1" applyFill="1" applyBorder="1" applyAlignment="1" applyProtection="1">
      <alignment vertical="center" wrapText="1"/>
      <protection hidden="1"/>
    </xf>
    <xf numFmtId="9" fontId="80" fillId="23" borderId="32" xfId="11" applyNumberFormat="1" applyFont="1" applyFill="1" applyBorder="1" applyAlignment="1" applyProtection="1">
      <alignment horizontal="center" vertical="center" wrapText="1"/>
      <protection hidden="1"/>
    </xf>
    <xf numFmtId="9" fontId="80" fillId="23" borderId="33" xfId="11" applyNumberFormat="1" applyFont="1" applyFill="1" applyBorder="1" applyAlignment="1" applyProtection="1">
      <alignment horizontal="center" vertical="center" wrapText="1"/>
      <protection hidden="1"/>
    </xf>
    <xf numFmtId="0" fontId="45" fillId="0" borderId="0" xfId="11" applyFont="1" applyAlignment="1" applyProtection="1">
      <alignment horizontal="center" textRotation="90" wrapText="1"/>
      <protection hidden="1"/>
    </xf>
    <xf numFmtId="0" fontId="39" fillId="0" borderId="0" xfId="0" applyFont="1" applyAlignment="1" applyProtection="1">
      <alignment vertical="center"/>
      <protection hidden="1"/>
    </xf>
    <xf numFmtId="0" fontId="43" fillId="0" borderId="0" xfId="0" applyFont="1" applyAlignment="1">
      <alignment horizontal="left"/>
    </xf>
    <xf numFmtId="49" fontId="43" fillId="0" borderId="0" xfId="0" applyNumberFormat="1" applyFont="1" applyAlignment="1">
      <alignment horizontal="left"/>
    </xf>
    <xf numFmtId="0" fontId="81" fillId="11" borderId="55" xfId="0" applyFont="1" applyFill="1" applyBorder="1"/>
    <xf numFmtId="0" fontId="65" fillId="11" borderId="56" xfId="0" applyFont="1" applyFill="1" applyBorder="1" applyAlignment="1">
      <alignment vertical="top"/>
    </xf>
    <xf numFmtId="0" fontId="82" fillId="11" borderId="56" xfId="0" applyFont="1" applyFill="1" applyBorder="1" applyAlignment="1">
      <alignment horizontal="center" vertical="center" textRotation="90"/>
    </xf>
    <xf numFmtId="0" fontId="59" fillId="11" borderId="58" xfId="0" applyFont="1" applyFill="1" applyBorder="1" applyAlignment="1">
      <alignment vertical="top" wrapText="1"/>
    </xf>
    <xf numFmtId="0" fontId="59" fillId="26" borderId="59" xfId="0" applyFont="1" applyFill="1" applyBorder="1" applyAlignment="1">
      <alignment vertical="top" wrapText="1"/>
    </xf>
    <xf numFmtId="0" fontId="61" fillId="26" borderId="59" xfId="0" applyFont="1" applyFill="1" applyBorder="1" applyAlignment="1">
      <alignment horizontal="center" vertical="top" wrapText="1"/>
    </xf>
    <xf numFmtId="0" fontId="61" fillId="26" borderId="60" xfId="0" applyFont="1" applyFill="1" applyBorder="1" applyAlignment="1">
      <alignment horizontal="center" vertical="top" wrapText="1"/>
    </xf>
    <xf numFmtId="0" fontId="77" fillId="27" borderId="58" xfId="0" applyFont="1" applyFill="1" applyBorder="1" applyAlignment="1" applyProtection="1">
      <alignment horizontal="center" vertical="center" wrapText="1"/>
      <protection hidden="1"/>
    </xf>
    <xf numFmtId="0" fontId="43" fillId="0" borderId="59" xfId="0" applyFont="1" applyBorder="1" applyAlignment="1" applyProtection="1">
      <alignment horizontal="left" vertical="center" wrapText="1"/>
      <protection locked="0"/>
    </xf>
    <xf numFmtId="0" fontId="83" fillId="0" borderId="59" xfId="0" applyFont="1" applyBorder="1" applyAlignment="1" applyProtection="1">
      <alignment horizontal="center" vertical="center" wrapText="1"/>
      <protection locked="0"/>
    </xf>
    <xf numFmtId="1" fontId="84" fillId="0" borderId="59" xfId="0" applyNumberFormat="1" applyFont="1" applyBorder="1" applyAlignment="1" applyProtection="1">
      <alignment horizontal="center" vertical="center" wrapText="1"/>
      <protection locked="0"/>
    </xf>
    <xf numFmtId="0" fontId="65" fillId="0" borderId="59" xfId="0" applyFont="1" applyBorder="1" applyAlignment="1">
      <alignment horizontal="center" vertical="center" wrapText="1"/>
    </xf>
    <xf numFmtId="0" fontId="65" fillId="0" borderId="60" xfId="0" applyFont="1" applyBorder="1" applyAlignment="1">
      <alignment horizontal="center" vertical="center" wrapText="1"/>
    </xf>
    <xf numFmtId="0" fontId="77" fillId="28" borderId="58" xfId="0" applyFont="1" applyFill="1" applyBorder="1" applyAlignment="1" applyProtection="1">
      <alignment horizontal="center" vertical="center" wrapText="1"/>
      <protection hidden="1"/>
    </xf>
    <xf numFmtId="0" fontId="77" fillId="29" borderId="58" xfId="0" applyFont="1" applyFill="1" applyBorder="1" applyAlignment="1" applyProtection="1">
      <alignment horizontal="center" vertical="center" wrapText="1"/>
      <protection hidden="1"/>
    </xf>
    <xf numFmtId="0" fontId="75" fillId="30" borderId="58" xfId="0" applyFont="1" applyFill="1" applyBorder="1" applyAlignment="1" applyProtection="1">
      <alignment horizontal="center" vertical="center" wrapText="1"/>
      <protection hidden="1"/>
    </xf>
    <xf numFmtId="0" fontId="75" fillId="31" borderId="58" xfId="0" applyFont="1" applyFill="1" applyBorder="1" applyAlignment="1" applyProtection="1">
      <alignment horizontal="center" vertical="center" wrapText="1"/>
      <protection hidden="1"/>
    </xf>
    <xf numFmtId="0" fontId="43" fillId="26" borderId="58" xfId="0" applyFont="1" applyFill="1" applyBorder="1" applyAlignment="1" applyProtection="1">
      <alignment horizontal="center" vertical="center" wrapText="1"/>
      <protection hidden="1"/>
    </xf>
    <xf numFmtId="0" fontId="43" fillId="11" borderId="58" xfId="0" applyFont="1" applyFill="1" applyBorder="1" applyAlignment="1" applyProtection="1">
      <alignment horizontal="center" vertical="center" wrapText="1"/>
      <protection hidden="1"/>
    </xf>
    <xf numFmtId="0" fontId="43" fillId="12" borderId="62" xfId="0" applyFont="1" applyFill="1" applyBorder="1" applyAlignment="1" applyProtection="1">
      <alignment horizontal="center" vertical="center" wrapText="1"/>
      <protection hidden="1"/>
    </xf>
    <xf numFmtId="0" fontId="43" fillId="0" borderId="63" xfId="0" applyFont="1" applyBorder="1" applyAlignment="1" applyProtection="1">
      <alignment horizontal="left" vertical="center" wrapText="1"/>
      <protection locked="0"/>
    </xf>
    <xf numFmtId="0" fontId="83" fillId="0" borderId="63" xfId="0" applyFont="1" applyBorder="1" applyAlignment="1" applyProtection="1">
      <alignment horizontal="center" vertical="center" wrapText="1"/>
      <protection locked="0"/>
    </xf>
    <xf numFmtId="1" fontId="84" fillId="0" borderId="63" xfId="0" applyNumberFormat="1" applyFont="1" applyBorder="1" applyAlignment="1" applyProtection="1">
      <alignment horizontal="center" vertical="center" wrapText="1"/>
      <protection locked="0"/>
    </xf>
    <xf numFmtId="0" fontId="65" fillId="0" borderId="63" xfId="0" applyFont="1" applyBorder="1" applyAlignment="1">
      <alignment horizontal="center" vertical="center" wrapText="1"/>
    </xf>
    <xf numFmtId="0" fontId="65" fillId="0" borderId="64" xfId="0" applyFont="1" applyBorder="1" applyAlignment="1">
      <alignment horizontal="center" vertical="center" wrapText="1"/>
    </xf>
    <xf numFmtId="0" fontId="44" fillId="26" borderId="0" xfId="0" applyFont="1" applyFill="1" applyAlignment="1" applyProtection="1">
      <alignment horizontal="center" vertical="top"/>
      <protection hidden="1"/>
    </xf>
    <xf numFmtId="0" fontId="85" fillId="26" borderId="0" xfId="0" applyFont="1" applyFill="1" applyAlignment="1" applyProtection="1">
      <alignment horizontal="right" vertical="center" wrapText="1"/>
      <protection hidden="1"/>
    </xf>
    <xf numFmtId="9" fontId="86" fillId="26" borderId="0" xfId="0" applyNumberFormat="1" applyFont="1" applyFill="1" applyAlignment="1" applyProtection="1">
      <alignment horizontal="center" vertical="center"/>
      <protection hidden="1"/>
    </xf>
    <xf numFmtId="1" fontId="87" fillId="26" borderId="0" xfId="0" applyNumberFormat="1" applyFont="1" applyFill="1" applyAlignment="1" applyProtection="1">
      <alignment horizontal="center" vertical="center" wrapText="1"/>
      <protection hidden="1"/>
    </xf>
    <xf numFmtId="0" fontId="40" fillId="0" borderId="3" xfId="3" applyFont="1" applyBorder="1" applyAlignment="1">
      <alignment vertical="center"/>
    </xf>
    <xf numFmtId="0" fontId="58" fillId="0" borderId="0" xfId="3" applyFont="1"/>
    <xf numFmtId="0" fontId="44" fillId="0" borderId="0" xfId="3" applyFont="1"/>
    <xf numFmtId="0" fontId="40" fillId="0" borderId="0" xfId="3" applyFont="1" applyAlignment="1">
      <alignment vertical="center"/>
    </xf>
    <xf numFmtId="0" fontId="46" fillId="0" borderId="0" xfId="3" applyFont="1" applyAlignment="1">
      <alignment horizontal="left" vertical="top"/>
    </xf>
    <xf numFmtId="0" fontId="77" fillId="0" borderId="0" xfId="3" applyFont="1"/>
    <xf numFmtId="0" fontId="45" fillId="9" borderId="0" xfId="3" applyFont="1" applyFill="1"/>
    <xf numFmtId="0" fontId="79" fillId="10" borderId="55" xfId="3" applyFont="1" applyFill="1" applyBorder="1" applyAlignment="1">
      <alignment vertical="top" wrapText="1"/>
    </xf>
    <xf numFmtId="0" fontId="79" fillId="10" borderId="56" xfId="3" applyFont="1" applyFill="1" applyBorder="1" applyAlignment="1">
      <alignment vertical="top" wrapText="1"/>
    </xf>
    <xf numFmtId="0" fontId="79" fillId="10" borderId="57" xfId="3" applyFont="1" applyFill="1" applyBorder="1" applyAlignment="1">
      <alignment vertical="top" wrapText="1"/>
    </xf>
    <xf numFmtId="0" fontId="44" fillId="9" borderId="58" xfId="3" applyFont="1" applyFill="1" applyBorder="1" applyAlignment="1">
      <alignment horizontal="center" vertical="top"/>
    </xf>
    <xf numFmtId="49" fontId="45" fillId="9" borderId="59" xfId="3" applyNumberFormat="1" applyFont="1" applyFill="1" applyBorder="1" applyAlignment="1" applyProtection="1">
      <alignment horizontal="left" vertical="top" wrapText="1"/>
      <protection locked="0"/>
    </xf>
    <xf numFmtId="0" fontId="71" fillId="9" borderId="59" xfId="3" applyFont="1" applyFill="1" applyBorder="1" applyAlignment="1" applyProtection="1">
      <alignment horizontal="center" vertical="center"/>
      <protection locked="0"/>
    </xf>
    <xf numFmtId="1" fontId="71" fillId="9" borderId="59" xfId="3" applyNumberFormat="1" applyFont="1" applyFill="1" applyBorder="1" applyAlignment="1" applyProtection="1">
      <alignment horizontal="center" vertical="center" wrapText="1"/>
      <protection locked="0"/>
    </xf>
    <xf numFmtId="49" fontId="44" fillId="9" borderId="59" xfId="3" applyNumberFormat="1" applyFont="1" applyFill="1" applyBorder="1" applyAlignment="1" applyProtection="1">
      <alignment horizontal="left" vertical="top" wrapText="1"/>
      <protection locked="0"/>
    </xf>
    <xf numFmtId="0" fontId="59" fillId="9" borderId="60" xfId="3" applyFont="1" applyFill="1" applyBorder="1" applyAlignment="1" applyProtection="1">
      <alignment horizontal="center" vertical="center" wrapText="1"/>
      <protection locked="0"/>
    </xf>
    <xf numFmtId="49" fontId="45" fillId="8" borderId="59" xfId="3" applyNumberFormat="1" applyFont="1" applyFill="1" applyBorder="1" applyAlignment="1" applyProtection="1">
      <alignment horizontal="left" vertical="top" wrapText="1"/>
      <protection locked="0"/>
    </xf>
    <xf numFmtId="0" fontId="71" fillId="23" borderId="59" xfId="3" applyFont="1" applyFill="1" applyBorder="1" applyAlignment="1" applyProtection="1">
      <alignment horizontal="center" vertical="center"/>
      <protection locked="0"/>
    </xf>
    <xf numFmtId="1" fontId="71" fillId="23" borderId="59" xfId="3" applyNumberFormat="1" applyFont="1" applyFill="1" applyBorder="1" applyAlignment="1" applyProtection="1">
      <alignment horizontal="center" vertical="center" wrapText="1"/>
      <protection locked="0"/>
    </xf>
    <xf numFmtId="49" fontId="44" fillId="8" borderId="59" xfId="3" applyNumberFormat="1" applyFont="1" applyFill="1" applyBorder="1" applyAlignment="1" applyProtection="1">
      <alignment horizontal="left" vertical="top" wrapText="1"/>
      <protection locked="0"/>
    </xf>
    <xf numFmtId="0" fontId="59" fillId="8" borderId="60" xfId="3" applyFont="1" applyFill="1" applyBorder="1" applyAlignment="1" applyProtection="1">
      <alignment horizontal="center" vertical="center" wrapText="1"/>
      <protection locked="0"/>
    </xf>
    <xf numFmtId="49" fontId="45" fillId="23" borderId="59" xfId="3" applyNumberFormat="1" applyFont="1" applyFill="1" applyBorder="1" applyAlignment="1" applyProtection="1">
      <alignment horizontal="left" vertical="top" wrapText="1"/>
      <protection locked="0"/>
    </xf>
    <xf numFmtId="49" fontId="44" fillId="23" borderId="59" xfId="3" applyNumberFormat="1" applyFont="1" applyFill="1" applyBorder="1" applyAlignment="1" applyProtection="1">
      <alignment horizontal="left" vertical="top" wrapText="1"/>
      <protection locked="0"/>
    </xf>
    <xf numFmtId="0" fontId="59" fillId="23" borderId="60" xfId="3" applyFont="1" applyFill="1" applyBorder="1" applyAlignment="1" applyProtection="1">
      <alignment horizontal="center" vertical="center" wrapText="1"/>
      <protection locked="0"/>
    </xf>
    <xf numFmtId="0" fontId="44" fillId="9" borderId="62" xfId="3" applyFont="1" applyFill="1" applyBorder="1" applyAlignment="1">
      <alignment horizontal="center" vertical="top"/>
    </xf>
    <xf numFmtId="49" fontId="45" fillId="8" borderId="63" xfId="3" applyNumberFormat="1" applyFont="1" applyFill="1" applyBorder="1" applyAlignment="1" applyProtection="1">
      <alignment horizontal="left" vertical="top" wrapText="1"/>
      <protection locked="0"/>
    </xf>
    <xf numFmtId="0" fontId="71" fillId="23" borderId="63" xfId="3" applyFont="1" applyFill="1" applyBorder="1" applyAlignment="1" applyProtection="1">
      <alignment horizontal="center" vertical="center"/>
      <protection locked="0"/>
    </xf>
    <xf numFmtId="1" fontId="71" fillId="23" borderId="63" xfId="3" applyNumberFormat="1" applyFont="1" applyFill="1" applyBorder="1" applyAlignment="1" applyProtection="1">
      <alignment horizontal="center" vertical="center" wrapText="1"/>
      <protection locked="0"/>
    </xf>
    <xf numFmtId="49" fontId="44" fillId="8" borderId="63" xfId="3" applyNumberFormat="1" applyFont="1" applyFill="1" applyBorder="1" applyAlignment="1" applyProtection="1">
      <alignment horizontal="left" vertical="top" wrapText="1"/>
      <protection locked="0"/>
    </xf>
    <xf numFmtId="0" fontId="59" fillId="8" borderId="64" xfId="3" applyFont="1" applyFill="1" applyBorder="1" applyAlignment="1" applyProtection="1">
      <alignment horizontal="center" vertical="center" wrapText="1"/>
      <protection locked="0"/>
    </xf>
    <xf numFmtId="0" fontId="45" fillId="0" borderId="0" xfId="3" applyFont="1" applyProtection="1">
      <protection locked="0" hidden="1"/>
    </xf>
    <xf numFmtId="0" fontId="50" fillId="0" borderId="0" xfId="0" applyFont="1" applyAlignment="1">
      <alignment vertical="top"/>
    </xf>
    <xf numFmtId="0" fontId="48" fillId="0" borderId="0" xfId="5" applyFont="1" applyAlignment="1" applyProtection="1"/>
    <xf numFmtId="0" fontId="88" fillId="0" borderId="0" xfId="3" applyFont="1"/>
    <xf numFmtId="0" fontId="39" fillId="0" borderId="3" xfId="20" applyFont="1" applyBorder="1" applyAlignment="1" applyProtection="1">
      <alignment vertical="center"/>
      <protection hidden="1"/>
    </xf>
    <xf numFmtId="0" fontId="89" fillId="0" borderId="3" xfId="20" applyFont="1" applyBorder="1" applyAlignment="1" applyProtection="1">
      <alignment vertical="center"/>
      <protection hidden="1"/>
    </xf>
    <xf numFmtId="0" fontId="44" fillId="0" borderId="0" xfId="20" applyFont="1" applyProtection="1">
      <protection hidden="1"/>
    </xf>
    <xf numFmtId="0" fontId="45" fillId="0" borderId="0" xfId="20" applyFont="1" applyProtection="1">
      <protection hidden="1"/>
    </xf>
    <xf numFmtId="0" fontId="45" fillId="0" borderId="0" xfId="20" applyFont="1" applyAlignment="1" applyProtection="1">
      <alignment vertical="top"/>
      <protection hidden="1"/>
    </xf>
    <xf numFmtId="0" fontId="46" fillId="0" borderId="0" xfId="20" applyFont="1" applyAlignment="1" applyProtection="1">
      <alignment vertical="top"/>
      <protection hidden="1"/>
    </xf>
    <xf numFmtId="0" fontId="47" fillId="0" borderId="0" xfId="20" applyFont="1" applyProtection="1">
      <protection hidden="1"/>
    </xf>
    <xf numFmtId="0" fontId="50" fillId="0" borderId="0" xfId="20" applyFont="1" applyAlignment="1" applyProtection="1">
      <alignment vertical="top"/>
      <protection hidden="1"/>
    </xf>
    <xf numFmtId="0" fontId="50" fillId="0" borderId="0" xfId="20" applyFont="1" applyAlignment="1" applyProtection="1">
      <alignment horizontal="right" vertical="top"/>
      <protection hidden="1"/>
    </xf>
    <xf numFmtId="14" fontId="50" fillId="0" borderId="0" xfId="20" applyNumberFormat="1" applyFont="1" applyAlignment="1" applyProtection="1">
      <alignment horizontal="left" vertical="center"/>
      <protection hidden="1"/>
    </xf>
    <xf numFmtId="0" fontId="56" fillId="0" borderId="0" xfId="20" applyFont="1" applyProtection="1">
      <protection hidden="1"/>
    </xf>
    <xf numFmtId="0" fontId="77" fillId="36" borderId="0" xfId="0" applyFont="1" applyFill="1" applyAlignment="1" applyProtection="1">
      <alignment horizontal="left" vertical="center"/>
      <protection hidden="1"/>
    </xf>
    <xf numFmtId="0" fontId="77" fillId="36" borderId="0" xfId="0" applyFont="1" applyFill="1" applyAlignment="1" applyProtection="1">
      <alignment horizontal="center" vertical="center"/>
      <protection hidden="1"/>
    </xf>
    <xf numFmtId="0" fontId="91" fillId="36" borderId="0" xfId="0" applyFont="1" applyFill="1" applyAlignment="1" applyProtection="1">
      <alignment horizontal="right" vertical="center"/>
      <protection hidden="1"/>
    </xf>
    <xf numFmtId="0" fontId="92" fillId="9" borderId="3" xfId="23" applyFont="1" applyFill="1" applyBorder="1" applyAlignment="1" applyProtection="1">
      <alignment horizontal="center" vertical="center" textRotation="90"/>
      <protection hidden="1"/>
    </xf>
    <xf numFmtId="0" fontId="89" fillId="9" borderId="3" xfId="0" applyFont="1" applyFill="1" applyBorder="1" applyAlignment="1" applyProtection="1">
      <alignment vertical="center"/>
      <protection hidden="1"/>
    </xf>
    <xf numFmtId="0" fontId="76" fillId="9" borderId="3" xfId="0" applyFont="1" applyFill="1" applyBorder="1" applyAlignment="1" applyProtection="1">
      <alignment vertical="center"/>
      <protection hidden="1"/>
    </xf>
    <xf numFmtId="14" fontId="93" fillId="9" borderId="3" xfId="0" applyNumberFormat="1" applyFont="1" applyFill="1" applyBorder="1" applyAlignment="1" applyProtection="1">
      <alignment horizontal="left" vertical="center"/>
      <protection hidden="1"/>
    </xf>
    <xf numFmtId="0" fontId="94" fillId="9" borderId="3" xfId="0" applyFont="1" applyFill="1" applyBorder="1" applyAlignment="1" applyProtection="1">
      <alignment vertical="center" wrapText="1"/>
      <protection hidden="1"/>
    </xf>
    <xf numFmtId="14" fontId="95" fillId="9" borderId="3" xfId="0" applyNumberFormat="1" applyFont="1" applyFill="1" applyBorder="1" applyAlignment="1" applyProtection="1">
      <alignment horizontal="left" vertical="center"/>
      <protection hidden="1"/>
    </xf>
    <xf numFmtId="14" fontId="93" fillId="9" borderId="3" xfId="0" applyNumberFormat="1" applyFont="1" applyFill="1" applyBorder="1" applyAlignment="1" applyProtection="1">
      <alignment vertical="center"/>
      <protection hidden="1"/>
    </xf>
    <xf numFmtId="0" fontId="45" fillId="0" borderId="0" xfId="23" applyFont="1" applyProtection="1">
      <protection hidden="1"/>
    </xf>
    <xf numFmtId="0" fontId="46" fillId="0" borderId="0" xfId="23" applyFont="1" applyAlignment="1" applyProtection="1">
      <alignment vertical="top"/>
      <protection hidden="1"/>
    </xf>
    <xf numFmtId="0" fontId="92" fillId="0" borderId="53" xfId="23" applyFont="1" applyBorder="1" applyAlignment="1" applyProtection="1">
      <alignment horizontal="center" vertical="center" textRotation="90" wrapText="1"/>
      <protection hidden="1"/>
    </xf>
    <xf numFmtId="0" fontId="45" fillId="0" borderId="54" xfId="23" applyFont="1" applyBorder="1" applyProtection="1">
      <protection hidden="1"/>
    </xf>
    <xf numFmtId="0" fontId="90" fillId="9" borderId="0" xfId="23" applyFont="1" applyFill="1" applyAlignment="1" applyProtection="1">
      <alignment vertical="center"/>
      <protection hidden="1"/>
    </xf>
    <xf numFmtId="0" fontId="76" fillId="9" borderId="0" xfId="23" applyFont="1" applyFill="1" applyAlignment="1" applyProtection="1">
      <alignment vertical="center"/>
      <protection hidden="1"/>
    </xf>
    <xf numFmtId="14" fontId="93" fillId="9" borderId="0" xfId="23" applyNumberFormat="1" applyFont="1" applyFill="1" applyAlignment="1" applyProtection="1">
      <alignment vertical="center"/>
      <protection hidden="1"/>
    </xf>
    <xf numFmtId="0" fontId="39" fillId="0" borderId="3" xfId="22" applyFont="1" applyBorder="1" applyAlignment="1" applyProtection="1">
      <alignment vertical="center"/>
      <protection hidden="1"/>
    </xf>
    <xf numFmtId="0" fontId="40" fillId="0" borderId="3" xfId="22" applyFont="1" applyBorder="1" applyAlignment="1" applyProtection="1">
      <alignment vertical="center"/>
      <protection hidden="1"/>
    </xf>
    <xf numFmtId="0" fontId="46" fillId="0" borderId="3" xfId="22" applyFont="1" applyBorder="1" applyAlignment="1">
      <alignment horizontal="right" vertical="center"/>
    </xf>
    <xf numFmtId="0" fontId="42" fillId="0" borderId="0" xfId="22" applyFont="1" applyAlignment="1" applyProtection="1">
      <alignment vertical="center"/>
      <protection hidden="1"/>
    </xf>
    <xf numFmtId="0" fontId="44" fillId="0" borderId="0" xfId="22" applyFont="1" applyProtection="1">
      <protection hidden="1"/>
    </xf>
    <xf numFmtId="0" fontId="45" fillId="0" borderId="0" xfId="22" applyFont="1" applyProtection="1">
      <protection hidden="1"/>
    </xf>
    <xf numFmtId="0" fontId="46" fillId="0" borderId="0" xfId="22" applyFont="1" applyAlignment="1">
      <alignment vertical="top"/>
    </xf>
    <xf numFmtId="0" fontId="45" fillId="0" borderId="0" xfId="22" applyFont="1"/>
    <xf numFmtId="0" fontId="65" fillId="0" borderId="0" xfId="22" applyFont="1" applyAlignment="1">
      <alignment vertical="top" textRotation="90" shrinkToFit="1"/>
    </xf>
    <xf numFmtId="0" fontId="65" fillId="0" borderId="0" xfId="22" applyFont="1" applyAlignment="1">
      <alignment horizontal="center" vertical="top" textRotation="90" shrinkToFit="1"/>
    </xf>
    <xf numFmtId="0" fontId="96" fillId="10" borderId="55" xfId="22" applyFont="1" applyFill="1" applyBorder="1" applyAlignment="1">
      <alignment vertical="top" wrapText="1"/>
    </xf>
    <xf numFmtId="0" fontId="96" fillId="10" borderId="56" xfId="22" applyFont="1" applyFill="1" applyBorder="1" applyAlignment="1">
      <alignment vertical="top" wrapText="1"/>
    </xf>
    <xf numFmtId="0" fontId="97" fillId="10" borderId="56" xfId="22" applyFont="1" applyFill="1" applyBorder="1" applyAlignment="1">
      <alignment vertical="top" wrapText="1"/>
    </xf>
    <xf numFmtId="0" fontId="97" fillId="10" borderId="57" xfId="22" applyFont="1" applyFill="1" applyBorder="1" applyAlignment="1">
      <alignment vertical="top" wrapText="1"/>
    </xf>
    <xf numFmtId="0" fontId="44" fillId="0" borderId="0" xfId="22" applyFont="1" applyAlignment="1">
      <alignment vertical="top"/>
    </xf>
    <xf numFmtId="0" fontId="44" fillId="23" borderId="58" xfId="22" applyFont="1" applyFill="1" applyBorder="1" applyAlignment="1">
      <alignment horizontal="center" vertical="top"/>
    </xf>
    <xf numFmtId="0" fontId="44" fillId="23" borderId="59" xfId="22" applyFont="1" applyFill="1" applyBorder="1" applyAlignment="1" applyProtection="1">
      <alignment horizontal="left" vertical="top" wrapText="1"/>
      <protection locked="0"/>
    </xf>
    <xf numFmtId="1" fontId="71" fillId="23" borderId="59" xfId="22" applyNumberFormat="1" applyFont="1" applyFill="1" applyBorder="1" applyAlignment="1" applyProtection="1">
      <alignment horizontal="center" vertical="top" wrapText="1"/>
      <protection locked="0"/>
    </xf>
    <xf numFmtId="0" fontId="44" fillId="23" borderId="59" xfId="22" quotePrefix="1" applyFont="1" applyFill="1" applyBorder="1" applyAlignment="1" applyProtection="1">
      <alignment horizontal="left" vertical="top" wrapText="1"/>
      <protection locked="0"/>
    </xf>
    <xf numFmtId="0" fontId="59" fillId="23" borderId="60" xfId="22" applyFont="1" applyFill="1" applyBorder="1" applyAlignment="1" applyProtection="1">
      <alignment horizontal="center" vertical="top" wrapText="1"/>
      <protection locked="0"/>
    </xf>
    <xf numFmtId="0" fontId="44" fillId="0" borderId="0" xfId="22" applyFont="1"/>
    <xf numFmtId="0" fontId="72" fillId="0" borderId="0" xfId="22" applyFont="1"/>
    <xf numFmtId="0" fontId="44" fillId="8" borderId="58" xfId="22" applyFont="1" applyFill="1" applyBorder="1" applyAlignment="1">
      <alignment horizontal="center" vertical="top"/>
    </xf>
    <xf numFmtId="0" fontId="44" fillId="8" borderId="59" xfId="22" applyFont="1" applyFill="1" applyBorder="1" applyAlignment="1" applyProtection="1">
      <alignment horizontal="left" vertical="top" wrapText="1"/>
      <protection locked="0"/>
    </xf>
    <xf numFmtId="1" fontId="71" fillId="8" borderId="59" xfId="22" applyNumberFormat="1" applyFont="1" applyFill="1" applyBorder="1" applyAlignment="1" applyProtection="1">
      <alignment horizontal="center" vertical="top" wrapText="1"/>
      <protection locked="0"/>
    </xf>
    <xf numFmtId="0" fontId="88" fillId="0" borderId="0" xfId="22" applyFont="1"/>
    <xf numFmtId="0" fontId="59" fillId="8" borderId="60" xfId="22" applyFont="1" applyFill="1" applyBorder="1" applyAlignment="1" applyProtection="1">
      <alignment horizontal="center" vertical="top" wrapText="1"/>
      <protection locked="0"/>
    </xf>
    <xf numFmtId="0" fontId="44" fillId="8" borderId="62" xfId="22" applyFont="1" applyFill="1" applyBorder="1" applyAlignment="1">
      <alignment horizontal="center" vertical="top"/>
    </xf>
    <xf numFmtId="0" fontId="44" fillId="8" borderId="63" xfId="22" applyFont="1" applyFill="1" applyBorder="1" applyAlignment="1" applyProtection="1">
      <alignment horizontal="left" vertical="top" wrapText="1"/>
      <protection locked="0"/>
    </xf>
    <xf numFmtId="1" fontId="71" fillId="23" borderId="63" xfId="22" applyNumberFormat="1" applyFont="1" applyFill="1" applyBorder="1" applyAlignment="1" applyProtection="1">
      <alignment horizontal="center" vertical="top" wrapText="1"/>
      <protection locked="0"/>
    </xf>
    <xf numFmtId="0" fontId="59" fillId="8" borderId="64" xfId="22" applyFont="1" applyFill="1" applyBorder="1" applyAlignment="1" applyProtection="1">
      <alignment horizontal="center" vertical="top" wrapText="1"/>
      <protection locked="0"/>
    </xf>
    <xf numFmtId="0" fontId="98" fillId="0" borderId="0" xfId="22" applyFont="1"/>
    <xf numFmtId="0" fontId="50" fillId="0" borderId="0" xfId="22" applyFont="1" applyAlignment="1">
      <alignment vertical="top"/>
    </xf>
    <xf numFmtId="0" fontId="45" fillId="0" borderId="0" xfId="22" applyFont="1" applyProtection="1">
      <protection locked="0" hidden="1"/>
    </xf>
    <xf numFmtId="0" fontId="89" fillId="0" borderId="3" xfId="0" applyFont="1" applyBorder="1" applyAlignment="1" applyProtection="1">
      <alignment vertical="center"/>
      <protection hidden="1"/>
    </xf>
    <xf numFmtId="0" fontId="63" fillId="0" borderId="3" xfId="0" applyFont="1" applyBorder="1" applyAlignment="1" applyProtection="1">
      <alignment vertical="center"/>
      <protection hidden="1"/>
    </xf>
    <xf numFmtId="0" fontId="43" fillId="0" borderId="3" xfId="0" applyFont="1" applyBorder="1"/>
    <xf numFmtId="0" fontId="58" fillId="0" borderId="0" xfId="0" applyFont="1" applyAlignment="1" applyProtection="1">
      <alignment horizontal="left" vertical="top"/>
      <protection locked="0" hidden="1"/>
    </xf>
    <xf numFmtId="0" fontId="63" fillId="0" borderId="0" xfId="0" applyFont="1" applyAlignment="1" applyProtection="1">
      <alignment vertical="center"/>
      <protection hidden="1"/>
    </xf>
    <xf numFmtId="0" fontId="77" fillId="0" borderId="0" xfId="0" applyFont="1" applyAlignment="1" applyProtection="1">
      <alignment horizontal="left" vertical="top"/>
      <protection hidden="1"/>
    </xf>
    <xf numFmtId="0" fontId="42" fillId="0" borderId="0" xfId="0" applyFont="1" applyAlignment="1">
      <alignment vertical="center"/>
    </xf>
    <xf numFmtId="0" fontId="99" fillId="0" borderId="0" xfId="0" applyFont="1" applyAlignment="1">
      <alignment vertical="center"/>
    </xf>
    <xf numFmtId="0" fontId="77" fillId="0" borderId="0" xfId="0" applyFont="1"/>
    <xf numFmtId="0" fontId="58" fillId="0" borderId="0" xfId="0" applyFont="1" applyAlignment="1">
      <alignment horizontal="left" vertical="top"/>
    </xf>
    <xf numFmtId="0" fontId="44" fillId="9" borderId="0" xfId="0" applyFont="1" applyFill="1" applyAlignment="1">
      <alignment horizontal="left" vertical="top"/>
    </xf>
    <xf numFmtId="0" fontId="50" fillId="9" borderId="0" xfId="0" applyFont="1" applyFill="1" applyAlignment="1">
      <alignment horizontal="left" vertical="top"/>
    </xf>
    <xf numFmtId="0" fontId="59" fillId="9" borderId="0" xfId="0" applyFont="1" applyFill="1" applyAlignment="1">
      <alignment horizontal="left" vertical="top"/>
    </xf>
    <xf numFmtId="0" fontId="44" fillId="9" borderId="0" xfId="0" applyFont="1" applyFill="1" applyAlignment="1">
      <alignment horizontal="left"/>
    </xf>
    <xf numFmtId="0" fontId="44" fillId="0" borderId="0" xfId="0" applyFont="1" applyAlignment="1">
      <alignment horizontal="left"/>
    </xf>
    <xf numFmtId="0" fontId="50" fillId="0" borderId="0" xfId="0" applyFont="1" applyAlignment="1">
      <alignment horizontal="center"/>
    </xf>
    <xf numFmtId="0" fontId="58" fillId="0" borderId="0" xfId="0" applyFont="1"/>
    <xf numFmtId="0" fontId="74" fillId="0" borderId="0" xfId="0" applyFont="1" applyAlignment="1">
      <alignment horizontal="left" vertical="top"/>
    </xf>
    <xf numFmtId="0" fontId="59" fillId="9" borderId="0" xfId="0" applyFont="1" applyFill="1" applyAlignment="1">
      <alignment horizontal="center" vertical="center"/>
    </xf>
    <xf numFmtId="0" fontId="69" fillId="47" borderId="0" xfId="0" applyFont="1" applyFill="1" applyAlignment="1">
      <alignment horizontal="left" vertical="center"/>
    </xf>
    <xf numFmtId="0" fontId="44" fillId="8" borderId="0" xfId="0" applyFont="1" applyFill="1" applyAlignment="1">
      <alignment horizontal="center" vertical="center"/>
    </xf>
    <xf numFmtId="0" fontId="74" fillId="47" borderId="0" xfId="0" applyFont="1" applyFill="1" applyAlignment="1">
      <alignment horizontal="left" vertical="center"/>
    </xf>
    <xf numFmtId="0" fontId="58" fillId="47" borderId="73" xfId="0" applyFont="1" applyFill="1" applyBorder="1" applyAlignment="1">
      <alignment horizontal="center" vertical="center"/>
    </xf>
    <xf numFmtId="0" fontId="58" fillId="47" borderId="72" xfId="0" applyFont="1" applyFill="1" applyBorder="1" applyAlignment="1">
      <alignment horizontal="center" vertical="center"/>
    </xf>
    <xf numFmtId="0" fontId="69" fillId="43" borderId="59" xfId="0" applyFont="1" applyFill="1" applyBorder="1" applyAlignment="1">
      <alignment horizontal="left" vertical="center"/>
    </xf>
    <xf numFmtId="0" fontId="100" fillId="43" borderId="59" xfId="0" applyFont="1" applyFill="1" applyBorder="1" applyAlignment="1">
      <alignment horizontal="center" textRotation="90"/>
    </xf>
    <xf numFmtId="0" fontId="74" fillId="43" borderId="59" xfId="0" applyFont="1" applyFill="1" applyBorder="1" applyAlignment="1">
      <alignment horizontal="left" vertical="center"/>
    </xf>
    <xf numFmtId="0" fontId="74" fillId="43" borderId="58" xfId="0" applyFont="1" applyFill="1" applyBorder="1" applyAlignment="1">
      <alignment horizontal="center" vertical="center"/>
    </xf>
    <xf numFmtId="0" fontId="74" fillId="0" borderId="0" xfId="0" applyFont="1" applyAlignment="1">
      <alignment horizontal="left" vertical="center"/>
    </xf>
    <xf numFmtId="0" fontId="59" fillId="0" borderId="0" xfId="0" applyFont="1"/>
    <xf numFmtId="0" fontId="58" fillId="9" borderId="0" xfId="0" applyFont="1" applyFill="1" applyAlignment="1">
      <alignment horizontal="left" vertical="top"/>
    </xf>
    <xf numFmtId="0" fontId="44" fillId="9" borderId="0" xfId="0" applyFont="1" applyFill="1" applyAlignment="1">
      <alignment horizontal="center" vertical="top"/>
    </xf>
    <xf numFmtId="0" fontId="44" fillId="9" borderId="0" xfId="16" applyFont="1" applyFill="1" applyAlignment="1">
      <alignment horizontal="left" vertical="top" wrapText="1"/>
    </xf>
    <xf numFmtId="0" fontId="50" fillId="9" borderId="0" xfId="0" applyFont="1" applyFill="1" applyAlignment="1">
      <alignment horizontal="center" vertical="top"/>
    </xf>
    <xf numFmtId="0" fontId="44" fillId="9" borderId="0" xfId="16" applyFont="1" applyFill="1" applyAlignment="1">
      <alignment horizontal="center" vertical="top" wrapText="1"/>
    </xf>
    <xf numFmtId="0" fontId="101" fillId="9" borderId="0" xfId="16" applyFont="1" applyFill="1" applyAlignment="1">
      <alignment horizontal="left" vertical="top" wrapText="1"/>
    </xf>
    <xf numFmtId="0" fontId="101" fillId="9" borderId="0" xfId="16" applyFont="1" applyFill="1" applyAlignment="1">
      <alignment horizontal="center" vertical="top" wrapText="1"/>
    </xf>
    <xf numFmtId="0" fontId="59" fillId="9" borderId="0" xfId="16" applyFont="1" applyFill="1" applyAlignment="1">
      <alignment horizontal="center" vertical="top" wrapText="1"/>
    </xf>
    <xf numFmtId="0" fontId="58" fillId="0" borderId="0" xfId="0" applyFont="1" applyAlignment="1" applyProtection="1">
      <alignment vertical="top"/>
      <protection hidden="1"/>
    </xf>
    <xf numFmtId="0" fontId="44" fillId="9" borderId="0" xfId="0" applyFont="1" applyFill="1" applyAlignment="1">
      <alignment vertical="top"/>
    </xf>
    <xf numFmtId="49" fontId="50" fillId="8" borderId="60" xfId="0" applyNumberFormat="1" applyFont="1" applyFill="1" applyBorder="1" applyAlignment="1">
      <alignment horizontal="center" vertical="top"/>
    </xf>
    <xf numFmtId="0" fontId="43" fillId="0" borderId="0" xfId="0" applyFont="1" applyProtection="1">
      <protection locked="0"/>
    </xf>
    <xf numFmtId="0" fontId="43" fillId="6" borderId="59" xfId="0" applyFont="1" applyFill="1" applyBorder="1" applyAlignment="1" applyProtection="1">
      <alignment horizontal="center" vertical="top" wrapText="1"/>
      <protection locked="0"/>
    </xf>
    <xf numFmtId="14" fontId="43" fillId="6" borderId="59" xfId="5" applyNumberFormat="1" applyFont="1" applyFill="1" applyBorder="1" applyAlignment="1">
      <alignment horizontal="left" vertical="top" wrapText="1"/>
      <protection locked="0"/>
    </xf>
    <xf numFmtId="0" fontId="59" fillId="6" borderId="59" xfId="0" quotePrefix="1" applyFont="1" applyFill="1" applyBorder="1" applyAlignment="1" applyProtection="1">
      <alignment horizontal="center" vertical="top" wrapText="1"/>
      <protection locked="0"/>
    </xf>
    <xf numFmtId="0" fontId="58" fillId="9" borderId="0" xfId="0" applyFont="1" applyFill="1" applyAlignment="1">
      <alignment horizontal="center" vertical="top"/>
    </xf>
    <xf numFmtId="0" fontId="44" fillId="6" borderId="59" xfId="0" applyFont="1" applyFill="1" applyBorder="1" applyAlignment="1" applyProtection="1">
      <alignment horizontal="left" vertical="top" wrapText="1"/>
      <protection locked="0"/>
    </xf>
    <xf numFmtId="0" fontId="44" fillId="17" borderId="59" xfId="0" applyFont="1" applyFill="1" applyBorder="1" applyAlignment="1" applyProtection="1">
      <alignment horizontal="left" vertical="top" wrapText="1"/>
      <protection locked="0"/>
    </xf>
    <xf numFmtId="0" fontId="43" fillId="17" borderId="59" xfId="0" applyFont="1" applyFill="1" applyBorder="1" applyAlignment="1" applyProtection="1">
      <alignment horizontal="center" vertical="top" wrapText="1"/>
      <protection locked="0"/>
    </xf>
    <xf numFmtId="14" fontId="43" fillId="17" borderId="59" xfId="5" applyNumberFormat="1" applyFont="1" applyFill="1" applyBorder="1" applyAlignment="1">
      <alignment horizontal="left" vertical="top" wrapText="1"/>
      <protection locked="0"/>
    </xf>
    <xf numFmtId="0" fontId="59" fillId="17" borderId="59" xfId="0" quotePrefix="1" applyFont="1" applyFill="1" applyBorder="1" applyAlignment="1" applyProtection="1">
      <alignment horizontal="center" vertical="top" wrapText="1"/>
      <protection locked="0"/>
    </xf>
    <xf numFmtId="14" fontId="43" fillId="6" borderId="59" xfId="5" applyNumberFormat="1" applyFont="1" applyFill="1" applyBorder="1" applyAlignment="1">
      <alignment horizontal="left" vertical="center" wrapText="1"/>
      <protection locked="0"/>
    </xf>
    <xf numFmtId="0" fontId="59" fillId="6" borderId="59" xfId="0" quotePrefix="1" applyFont="1" applyFill="1" applyBorder="1" applyAlignment="1" applyProtection="1">
      <alignment horizontal="center" vertical="center" wrapText="1"/>
      <protection locked="0"/>
    </xf>
    <xf numFmtId="14" fontId="43" fillId="17" borderId="59" xfId="5" applyNumberFormat="1" applyFont="1" applyFill="1" applyBorder="1" applyAlignment="1">
      <alignment horizontal="left" vertical="center" wrapText="1"/>
      <protection locked="0"/>
    </xf>
    <xf numFmtId="0" fontId="59" fillId="17" borderId="59" xfId="0" quotePrefix="1" applyFont="1" applyFill="1" applyBorder="1" applyAlignment="1" applyProtection="1">
      <alignment horizontal="center" vertical="center" wrapText="1"/>
      <protection locked="0"/>
    </xf>
    <xf numFmtId="0" fontId="44" fillId="9" borderId="0" xfId="0" applyFont="1" applyFill="1"/>
    <xf numFmtId="0" fontId="44" fillId="9" borderId="0" xfId="16" applyFont="1" applyFill="1" applyAlignment="1">
      <alignment horizontal="center" vertical="center" wrapText="1"/>
    </xf>
    <xf numFmtId="0" fontId="59" fillId="9" borderId="0" xfId="16" applyFont="1" applyFill="1" applyAlignment="1">
      <alignment horizontal="center" vertical="center" wrapText="1"/>
    </xf>
    <xf numFmtId="0" fontId="44" fillId="9" borderId="0" xfId="0" applyFont="1" applyFill="1" applyAlignment="1">
      <alignment horizontal="center" vertical="center"/>
    </xf>
    <xf numFmtId="0" fontId="101" fillId="9" borderId="0" xfId="16" applyFont="1" applyFill="1" applyAlignment="1">
      <alignment horizontal="left" vertical="center" wrapText="1"/>
    </xf>
    <xf numFmtId="0" fontId="44" fillId="9" borderId="0" xfId="0" applyFont="1" applyFill="1" applyAlignment="1">
      <alignment horizontal="center"/>
    </xf>
    <xf numFmtId="0" fontId="50" fillId="9" borderId="0" xfId="0" applyFont="1" applyFill="1" applyAlignment="1">
      <alignment horizontal="center"/>
    </xf>
    <xf numFmtId="0" fontId="44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44" fillId="0" borderId="0" xfId="0" applyFont="1" applyAlignment="1">
      <alignment horizontal="center"/>
    </xf>
    <xf numFmtId="0" fontId="59" fillId="0" borderId="0" xfId="0" applyFont="1" applyAlignment="1">
      <alignment horizontal="center"/>
    </xf>
    <xf numFmtId="0" fontId="39" fillId="0" borderId="0" xfId="21" applyFont="1" applyAlignment="1">
      <alignment vertical="center"/>
    </xf>
    <xf numFmtId="0" fontId="40" fillId="0" borderId="3" xfId="21" applyFont="1" applyBorder="1" applyAlignment="1">
      <alignment vertical="center"/>
    </xf>
    <xf numFmtId="0" fontId="46" fillId="0" borderId="3" xfId="21" applyFont="1" applyBorder="1" applyAlignment="1">
      <alignment horizontal="right" vertical="center"/>
    </xf>
    <xf numFmtId="0" fontId="40" fillId="0" borderId="0" xfId="21" applyFont="1" applyAlignment="1">
      <alignment vertical="center"/>
    </xf>
    <xf numFmtId="0" fontId="44" fillId="0" borderId="0" xfId="21" applyFont="1"/>
    <xf numFmtId="0" fontId="45" fillId="0" borderId="0" xfId="21" applyFont="1" applyProtection="1">
      <protection hidden="1"/>
    </xf>
    <xf numFmtId="0" fontId="45" fillId="0" borderId="0" xfId="21" applyFont="1"/>
    <xf numFmtId="0" fontId="45" fillId="9" borderId="0" xfId="21" applyFont="1" applyFill="1"/>
    <xf numFmtId="0" fontId="79" fillId="10" borderId="55" xfId="21" applyFont="1" applyFill="1" applyBorder="1" applyAlignment="1">
      <alignment vertical="top" wrapText="1"/>
    </xf>
    <xf numFmtId="0" fontId="79" fillId="10" borderId="56" xfId="21" applyFont="1" applyFill="1" applyBorder="1" applyAlignment="1">
      <alignment horizontal="left" vertical="top" wrapText="1"/>
    </xf>
    <xf numFmtId="0" fontId="97" fillId="10" borderId="57" xfId="21" applyFont="1" applyFill="1" applyBorder="1" applyAlignment="1">
      <alignment horizontal="left" vertical="top" wrapText="1"/>
    </xf>
    <xf numFmtId="0" fontId="44" fillId="0" borderId="58" xfId="21" applyFont="1" applyBorder="1" applyAlignment="1">
      <alignment horizontal="center" vertical="top"/>
    </xf>
    <xf numFmtId="49" fontId="44" fillId="0" borderId="59" xfId="21" applyNumberFormat="1" applyFont="1" applyBorder="1" applyAlignment="1" applyProtection="1">
      <alignment horizontal="left" vertical="top" wrapText="1"/>
      <protection locked="0"/>
    </xf>
    <xf numFmtId="1" fontId="71" fillId="0" borderId="59" xfId="21" applyNumberFormat="1" applyFont="1" applyBorder="1" applyAlignment="1" applyProtection="1">
      <alignment horizontal="center" vertical="top" wrapText="1"/>
      <protection locked="0"/>
    </xf>
    <xf numFmtId="1" fontId="59" fillId="0" borderId="59" xfId="21" applyNumberFormat="1" applyFont="1" applyBorder="1" applyAlignment="1" applyProtection="1">
      <alignment horizontal="center" vertical="center" wrapText="1"/>
      <protection locked="0"/>
    </xf>
    <xf numFmtId="0" fontId="59" fillId="0" borderId="60" xfId="21" applyFont="1" applyBorder="1" applyAlignment="1" applyProtection="1">
      <alignment horizontal="center" vertical="top" wrapText="1"/>
      <protection locked="0"/>
    </xf>
    <xf numFmtId="0" fontId="77" fillId="9" borderId="0" xfId="0" applyFont="1" applyFill="1" applyProtection="1">
      <protection hidden="1"/>
    </xf>
    <xf numFmtId="0" fontId="88" fillId="0" borderId="0" xfId="21" applyFont="1"/>
    <xf numFmtId="1" fontId="88" fillId="0" borderId="0" xfId="21" applyNumberFormat="1" applyFont="1"/>
    <xf numFmtId="1" fontId="71" fillId="0" borderId="59" xfId="21" quotePrefix="1" applyNumberFormat="1" applyFont="1" applyBorder="1" applyAlignment="1" applyProtection="1">
      <alignment horizontal="center" vertical="top" wrapText="1"/>
      <protection locked="0"/>
    </xf>
    <xf numFmtId="49" fontId="44" fillId="0" borderId="59" xfId="21" quotePrefix="1" applyNumberFormat="1" applyFont="1" applyBorder="1" applyAlignment="1" applyProtection="1">
      <alignment horizontal="left" vertical="top" wrapText="1"/>
      <protection locked="0"/>
    </xf>
    <xf numFmtId="0" fontId="44" fillId="0" borderId="62" xfId="21" applyFont="1" applyBorder="1" applyAlignment="1">
      <alignment horizontal="center" vertical="top"/>
    </xf>
    <xf numFmtId="49" fontId="44" fillId="0" borderId="63" xfId="21" applyNumberFormat="1" applyFont="1" applyBorder="1" applyAlignment="1" applyProtection="1">
      <alignment horizontal="left" vertical="top" wrapText="1"/>
      <protection locked="0"/>
    </xf>
    <xf numFmtId="1" fontId="71" fillId="0" borderId="63" xfId="21" applyNumberFormat="1" applyFont="1" applyBorder="1" applyAlignment="1" applyProtection="1">
      <alignment horizontal="center" vertical="top" wrapText="1"/>
      <protection locked="0"/>
    </xf>
    <xf numFmtId="1" fontId="59" fillId="0" borderId="63" xfId="21" applyNumberFormat="1" applyFont="1" applyBorder="1" applyAlignment="1" applyProtection="1">
      <alignment horizontal="center" vertical="center" wrapText="1"/>
      <protection locked="0"/>
    </xf>
    <xf numFmtId="0" fontId="59" fillId="0" borderId="64" xfId="21" applyFont="1" applyBorder="1" applyAlignment="1" applyProtection="1">
      <alignment horizontal="center" vertical="top" wrapText="1"/>
      <protection locked="0"/>
    </xf>
    <xf numFmtId="1" fontId="102" fillId="9" borderId="52" xfId="21" applyNumberFormat="1" applyFont="1" applyFill="1" applyBorder="1" applyAlignment="1">
      <alignment horizontal="center" vertical="center"/>
    </xf>
    <xf numFmtId="0" fontId="103" fillId="9" borderId="0" xfId="21" applyFont="1" applyFill="1" applyAlignment="1">
      <alignment horizontal="left" indent="10"/>
    </xf>
    <xf numFmtId="0" fontId="45" fillId="0" borderId="0" xfId="21" applyFont="1" applyProtection="1">
      <protection locked="0" hidden="1"/>
    </xf>
    <xf numFmtId="0" fontId="56" fillId="0" borderId="0" xfId="21" applyFont="1"/>
    <xf numFmtId="0" fontId="104" fillId="0" borderId="3" xfId="0" applyFont="1" applyBorder="1" applyAlignment="1" applyProtection="1">
      <alignment horizontal="right" vertical="center"/>
      <protection locked="0"/>
    </xf>
    <xf numFmtId="0" fontId="40" fillId="0" borderId="3" xfId="0" applyFont="1" applyBorder="1" applyAlignment="1" applyProtection="1">
      <alignment horizontal="center" vertical="center"/>
      <protection hidden="1"/>
    </xf>
    <xf numFmtId="0" fontId="40" fillId="0" borderId="0" xfId="0" applyFont="1" applyAlignment="1" applyProtection="1">
      <alignment horizontal="center" vertical="center"/>
      <protection hidden="1"/>
    </xf>
    <xf numFmtId="0" fontId="105" fillId="0" borderId="0" xfId="0" applyFont="1"/>
    <xf numFmtId="0" fontId="50" fillId="0" borderId="0" xfId="0" applyFont="1"/>
    <xf numFmtId="0" fontId="43" fillId="0" borderId="0" xfId="0" applyFont="1" applyAlignment="1">
      <alignment horizontal="center"/>
    </xf>
    <xf numFmtId="0" fontId="50" fillId="9" borderId="0" xfId="0" applyFont="1" applyFill="1" applyAlignment="1">
      <alignment horizontal="left"/>
    </xf>
    <xf numFmtId="0" fontId="74" fillId="47" borderId="72" xfId="0" applyFont="1" applyFill="1" applyBorder="1" applyAlignment="1">
      <alignment horizontal="left" vertical="center"/>
    </xf>
    <xf numFmtId="0" fontId="74" fillId="47" borderId="72" xfId="0" applyFont="1" applyFill="1" applyBorder="1" applyAlignment="1">
      <alignment horizontal="center" vertical="center"/>
    </xf>
    <xf numFmtId="0" fontId="74" fillId="47" borderId="73" xfId="0" applyFont="1" applyFill="1" applyBorder="1" applyAlignment="1">
      <alignment horizontal="center" vertical="center"/>
    </xf>
    <xf numFmtId="0" fontId="58" fillId="47" borderId="71" xfId="0" applyFont="1" applyFill="1" applyBorder="1" applyAlignment="1">
      <alignment vertical="center"/>
    </xf>
    <xf numFmtId="0" fontId="69" fillId="10" borderId="0" xfId="0" applyFont="1" applyFill="1" applyAlignment="1">
      <alignment horizontal="left" vertical="center"/>
    </xf>
    <xf numFmtId="0" fontId="74" fillId="10" borderId="0" xfId="0" applyFont="1" applyFill="1" applyAlignment="1">
      <alignment horizontal="left" vertical="center"/>
    </xf>
    <xf numFmtId="0" fontId="74" fillId="10" borderId="72" xfId="0" applyFont="1" applyFill="1" applyBorder="1" applyAlignment="1">
      <alignment horizontal="left" vertical="center"/>
    </xf>
    <xf numFmtId="0" fontId="74" fillId="10" borderId="72" xfId="0" applyFont="1" applyFill="1" applyBorder="1" applyAlignment="1">
      <alignment horizontal="center" vertical="center"/>
    </xf>
    <xf numFmtId="0" fontId="58" fillId="10" borderId="73" xfId="0" applyFont="1" applyFill="1" applyBorder="1" applyAlignment="1">
      <alignment horizontal="center" vertical="center"/>
    </xf>
    <xf numFmtId="0" fontId="58" fillId="10" borderId="72" xfId="0" applyFont="1" applyFill="1" applyBorder="1" applyAlignment="1">
      <alignment horizontal="center" vertical="center"/>
    </xf>
    <xf numFmtId="0" fontId="58" fillId="10" borderId="0" xfId="0" applyFont="1" applyFill="1" applyAlignment="1">
      <alignment horizontal="center" vertical="center"/>
    </xf>
    <xf numFmtId="0" fontId="44" fillId="9" borderId="0" xfId="0" applyFont="1" applyFill="1" applyAlignment="1" applyProtection="1">
      <alignment horizontal="center" vertical="top"/>
      <protection hidden="1"/>
    </xf>
    <xf numFmtId="0" fontId="43" fillId="19" borderId="63" xfId="0" applyFont="1" applyFill="1" applyBorder="1" applyAlignment="1" applyProtection="1">
      <alignment horizontal="center" vertical="top" wrapText="1"/>
      <protection locked="0" hidden="1"/>
    </xf>
    <xf numFmtId="0" fontId="44" fillId="11" borderId="59" xfId="0" applyFont="1" applyFill="1" applyBorder="1" applyAlignment="1" applyProtection="1">
      <alignment horizontal="left" vertical="top" wrapText="1"/>
      <protection locked="0"/>
    </xf>
    <xf numFmtId="9" fontId="44" fillId="11" borderId="59" xfId="26" applyFont="1" applyFill="1" applyBorder="1" applyAlignment="1" applyProtection="1">
      <alignment horizontal="center" vertical="top" wrapText="1"/>
      <protection locked="0"/>
    </xf>
    <xf numFmtId="9" fontId="44" fillId="11" borderId="59" xfId="0" applyNumberFormat="1" applyFont="1" applyFill="1" applyBorder="1" applyAlignment="1">
      <alignment horizontal="center" vertical="top" wrapText="1"/>
    </xf>
    <xf numFmtId="9" fontId="44" fillId="14" borderId="59" xfId="0" applyNumberFormat="1" applyFont="1" applyFill="1" applyBorder="1" applyAlignment="1" applyProtection="1">
      <alignment horizontal="center" vertical="center" wrapText="1"/>
      <protection locked="0"/>
    </xf>
    <xf numFmtId="9" fontId="44" fillId="24" borderId="59" xfId="0" applyNumberFormat="1" applyFont="1" applyFill="1" applyBorder="1" applyAlignment="1" applyProtection="1">
      <alignment horizontal="center" vertical="center" wrapText="1"/>
      <protection locked="0"/>
    </xf>
    <xf numFmtId="0" fontId="59" fillId="11" borderId="59" xfId="0" applyFont="1" applyFill="1" applyBorder="1" applyAlignment="1" applyProtection="1">
      <alignment horizontal="center" vertical="top" wrapText="1"/>
      <protection hidden="1"/>
    </xf>
    <xf numFmtId="0" fontId="58" fillId="9" borderId="0" xfId="0" applyFont="1" applyFill="1" applyAlignment="1" applyProtection="1">
      <alignment horizontal="center" vertical="top"/>
      <protection hidden="1"/>
    </xf>
    <xf numFmtId="0" fontId="88" fillId="19" borderId="56" xfId="0" applyFont="1" applyFill="1" applyBorder="1" applyAlignment="1" applyProtection="1">
      <alignment horizontal="left" vertical="top" wrapText="1"/>
      <protection hidden="1"/>
    </xf>
    <xf numFmtId="0" fontId="44" fillId="11" borderId="59" xfId="0" applyFont="1" applyFill="1" applyBorder="1" applyAlignment="1" applyProtection="1">
      <alignment horizontal="center" vertical="top" wrapText="1"/>
      <protection locked="0"/>
    </xf>
    <xf numFmtId="0" fontId="88" fillId="19" borderId="72" xfId="0" applyFont="1" applyFill="1" applyBorder="1" applyAlignment="1" applyProtection="1">
      <alignment horizontal="left" vertical="top" wrapText="1"/>
      <protection hidden="1"/>
    </xf>
    <xf numFmtId="0" fontId="43" fillId="18" borderId="63" xfId="0" applyFont="1" applyFill="1" applyBorder="1" applyAlignment="1" applyProtection="1">
      <alignment horizontal="center" vertical="top" wrapText="1"/>
      <protection locked="0" hidden="1"/>
    </xf>
    <xf numFmtId="0" fontId="44" fillId="12" borderId="59" xfId="0" applyFont="1" applyFill="1" applyBorder="1" applyAlignment="1" applyProtection="1">
      <alignment horizontal="left" vertical="top" wrapText="1"/>
      <protection locked="0"/>
    </xf>
    <xf numFmtId="0" fontId="44" fillId="12" borderId="59" xfId="0" applyFont="1" applyFill="1" applyBorder="1" applyAlignment="1" applyProtection="1">
      <alignment horizontal="center" vertical="top" wrapText="1"/>
      <protection locked="0"/>
    </xf>
    <xf numFmtId="9" fontId="44" fillId="12" borderId="59" xfId="0" applyNumberFormat="1" applyFont="1" applyFill="1" applyBorder="1" applyAlignment="1">
      <alignment horizontal="center" vertical="top" wrapText="1"/>
    </xf>
    <xf numFmtId="9" fontId="44" fillId="13" borderId="59" xfId="0" applyNumberFormat="1" applyFont="1" applyFill="1" applyBorder="1" applyAlignment="1" applyProtection="1">
      <alignment horizontal="center" vertical="center" wrapText="1"/>
      <protection locked="0"/>
    </xf>
    <xf numFmtId="9" fontId="44" fillId="4" borderId="59" xfId="0" applyNumberFormat="1" applyFont="1" applyFill="1" applyBorder="1" applyAlignment="1" applyProtection="1">
      <alignment horizontal="center" vertical="center" wrapText="1"/>
      <protection locked="0"/>
    </xf>
    <xf numFmtId="0" fontId="59" fillId="12" borderId="59" xfId="0" applyFont="1" applyFill="1" applyBorder="1" applyAlignment="1" applyProtection="1">
      <alignment horizontal="center" vertical="top" wrapText="1"/>
      <protection hidden="1"/>
    </xf>
    <xf numFmtId="0" fontId="88" fillId="18" borderId="56" xfId="0" applyFont="1" applyFill="1" applyBorder="1" applyAlignment="1" applyProtection="1">
      <alignment horizontal="left" vertical="top" wrapText="1"/>
      <protection hidden="1"/>
    </xf>
    <xf numFmtId="0" fontId="88" fillId="18" borderId="72" xfId="0" applyFont="1" applyFill="1" applyBorder="1" applyAlignment="1" applyProtection="1">
      <alignment horizontal="left" vertical="top" wrapText="1"/>
      <protection hidden="1"/>
    </xf>
    <xf numFmtId="0" fontId="44" fillId="11" borderId="59" xfId="0" applyFont="1" applyFill="1" applyBorder="1" applyAlignment="1" applyProtection="1">
      <alignment horizontal="center" vertical="center" wrapText="1"/>
      <protection locked="0"/>
    </xf>
    <xf numFmtId="9" fontId="44" fillId="11" borderId="59" xfId="0" applyNumberFormat="1" applyFont="1" applyFill="1" applyBorder="1" applyAlignment="1">
      <alignment horizontal="center" vertical="center" wrapText="1"/>
    </xf>
    <xf numFmtId="0" fontId="59" fillId="11" borderId="59" xfId="0" applyFont="1" applyFill="1" applyBorder="1" applyAlignment="1" applyProtection="1">
      <alignment horizontal="center" vertical="center" wrapText="1"/>
      <protection hidden="1"/>
    </xf>
    <xf numFmtId="0" fontId="44" fillId="12" borderId="59" xfId="0" applyFont="1" applyFill="1" applyBorder="1" applyAlignment="1" applyProtection="1">
      <alignment horizontal="center" vertical="center" wrapText="1"/>
      <protection locked="0"/>
    </xf>
    <xf numFmtId="9" fontId="44" fillId="12" borderId="59" xfId="0" applyNumberFormat="1" applyFont="1" applyFill="1" applyBorder="1" applyAlignment="1">
      <alignment horizontal="center" vertical="center" wrapText="1"/>
    </xf>
    <xf numFmtId="9" fontId="44" fillId="12" borderId="59" xfId="0" applyNumberFormat="1" applyFont="1" applyFill="1" applyBorder="1" applyAlignment="1" applyProtection="1">
      <alignment horizontal="center" vertical="center" wrapText="1"/>
      <protection locked="0"/>
    </xf>
    <xf numFmtId="0" fontId="59" fillId="12" borderId="59" xfId="0" applyFont="1" applyFill="1" applyBorder="1" applyAlignment="1" applyProtection="1">
      <alignment horizontal="center" vertical="center" wrapText="1"/>
      <protection hidden="1"/>
    </xf>
    <xf numFmtId="0" fontId="50" fillId="9" borderId="0" xfId="0" applyFont="1" applyFill="1" applyAlignment="1">
      <alignment horizontal="center" vertical="center"/>
    </xf>
    <xf numFmtId="0" fontId="75" fillId="0" borderId="0" xfId="3" applyFont="1" applyAlignment="1" applyProtection="1">
      <alignment horizontal="right"/>
      <protection hidden="1"/>
    </xf>
    <xf numFmtId="0" fontId="45" fillId="9" borderId="0" xfId="3" applyFont="1" applyFill="1" applyProtection="1">
      <protection hidden="1"/>
    </xf>
    <xf numFmtId="0" fontId="106" fillId="0" borderId="58" xfId="3" applyFont="1" applyBorder="1" applyAlignment="1" applyProtection="1">
      <alignment horizontal="center" vertical="center" wrapText="1"/>
      <protection hidden="1"/>
    </xf>
    <xf numFmtId="49" fontId="45" fillId="0" borderId="59" xfId="3" applyNumberFormat="1" applyFont="1" applyBorder="1" applyAlignment="1" applyProtection="1">
      <alignment horizontal="left" vertical="center" wrapText="1"/>
      <protection locked="0"/>
    </xf>
    <xf numFmtId="1" fontId="71" fillId="0" borderId="59" xfId="3" applyNumberFormat="1" applyFont="1" applyBorder="1" applyAlignment="1" applyProtection="1">
      <alignment horizontal="center" vertical="center" wrapText="1"/>
      <protection locked="0"/>
    </xf>
    <xf numFmtId="14" fontId="45" fillId="0" borderId="59" xfId="3" applyNumberFormat="1" applyFont="1" applyBorder="1" applyAlignment="1" applyProtection="1">
      <alignment horizontal="left" vertical="center" wrapText="1"/>
      <protection locked="0"/>
    </xf>
    <xf numFmtId="0" fontId="106" fillId="0" borderId="62" xfId="3" applyFont="1" applyBorder="1" applyAlignment="1" applyProtection="1">
      <alignment horizontal="center" vertical="center" wrapText="1"/>
      <protection hidden="1"/>
    </xf>
    <xf numFmtId="49" fontId="45" fillId="0" borderId="63" xfId="3" applyNumberFormat="1" applyFont="1" applyBorder="1" applyAlignment="1" applyProtection="1">
      <alignment horizontal="left" vertical="center" wrapText="1"/>
      <protection locked="0"/>
    </xf>
    <xf numFmtId="1" fontId="71" fillId="0" borderId="63" xfId="3" applyNumberFormat="1" applyFont="1" applyBorder="1" applyAlignment="1" applyProtection="1">
      <alignment horizontal="center" vertical="center" wrapText="1"/>
      <protection locked="0"/>
    </xf>
    <xf numFmtId="14" fontId="45" fillId="0" borderId="63" xfId="3" applyNumberFormat="1" applyFont="1" applyBorder="1" applyAlignment="1" applyProtection="1">
      <alignment horizontal="left" vertical="center" wrapText="1"/>
      <protection locked="0"/>
    </xf>
    <xf numFmtId="49" fontId="45" fillId="0" borderId="64" xfId="3" applyNumberFormat="1" applyFont="1" applyBorder="1" applyAlignment="1" applyProtection="1">
      <alignment horizontal="left" vertical="center" wrapText="1"/>
      <protection locked="0"/>
    </xf>
    <xf numFmtId="9" fontId="43" fillId="0" borderId="0" xfId="0" applyNumberFormat="1" applyFont="1" applyProtection="1">
      <protection hidden="1"/>
    </xf>
    <xf numFmtId="9" fontId="75" fillId="0" borderId="0" xfId="0" applyNumberFormat="1" applyFont="1" applyProtection="1">
      <protection hidden="1"/>
    </xf>
    <xf numFmtId="0" fontId="50" fillId="0" borderId="0" xfId="0" applyFont="1" applyAlignment="1" applyProtection="1">
      <alignment vertical="top"/>
      <protection hidden="1"/>
    </xf>
    <xf numFmtId="0" fontId="39" fillId="0" borderId="0" xfId="3" applyFont="1" applyAlignment="1" applyProtection="1">
      <alignment vertical="center"/>
      <protection hidden="1"/>
    </xf>
    <xf numFmtId="0" fontId="107" fillId="0" borderId="0" xfId="3" applyFont="1" applyAlignment="1" applyProtection="1">
      <alignment vertical="center"/>
      <protection hidden="1"/>
    </xf>
    <xf numFmtId="0" fontId="73" fillId="0" borderId="0" xfId="3" applyFont="1" applyAlignment="1" applyProtection="1">
      <alignment horizontal="center" vertical="center"/>
      <protection hidden="1"/>
    </xf>
    <xf numFmtId="0" fontId="58" fillId="0" borderId="0" xfId="3" applyFont="1" applyProtection="1">
      <protection hidden="1"/>
    </xf>
    <xf numFmtId="0" fontId="44" fillId="0" borderId="0" xfId="3" applyFont="1" applyAlignment="1" applyProtection="1">
      <alignment vertical="top"/>
      <protection hidden="1"/>
    </xf>
    <xf numFmtId="0" fontId="40" fillId="0" borderId="0" xfId="3" applyFont="1" applyAlignment="1" applyProtection="1">
      <alignment vertical="center"/>
      <protection hidden="1"/>
    </xf>
    <xf numFmtId="0" fontId="40" fillId="9" borderId="0" xfId="3" applyFont="1" applyFill="1" applyAlignment="1" applyProtection="1">
      <alignment vertical="center"/>
      <protection hidden="1"/>
    </xf>
    <xf numFmtId="0" fontId="73" fillId="0" borderId="0" xfId="3" applyFont="1" applyAlignment="1" applyProtection="1">
      <alignment vertical="center"/>
      <protection hidden="1"/>
    </xf>
    <xf numFmtId="0" fontId="45" fillId="23" borderId="0" xfId="3" applyFont="1" applyFill="1" applyAlignment="1" applyProtection="1">
      <alignment horizontal="left" vertical="top"/>
      <protection hidden="1"/>
    </xf>
    <xf numFmtId="0" fontId="45" fillId="23" borderId="0" xfId="3" applyFont="1" applyFill="1" applyProtection="1">
      <protection hidden="1"/>
    </xf>
    <xf numFmtId="0" fontId="80" fillId="23" borderId="0" xfId="3" applyFont="1" applyFill="1" applyProtection="1">
      <protection hidden="1"/>
    </xf>
    <xf numFmtId="166" fontId="108" fillId="23" borderId="0" xfId="9" applyNumberFormat="1" applyFont="1" applyFill="1" applyAlignment="1" applyProtection="1">
      <alignment horizontal="left" vertical="center"/>
      <protection hidden="1"/>
    </xf>
    <xf numFmtId="0" fontId="43" fillId="8" borderId="0" xfId="3" applyFont="1" applyFill="1" applyAlignment="1" applyProtection="1">
      <alignment horizontal="right" textRotation="90"/>
      <protection hidden="1"/>
    </xf>
    <xf numFmtId="0" fontId="44" fillId="0" borderId="0" xfId="3" applyFont="1" applyAlignment="1" applyProtection="1">
      <alignment horizontal="center" textRotation="90"/>
      <protection hidden="1"/>
    </xf>
    <xf numFmtId="0" fontId="44" fillId="23" borderId="0" xfId="3" applyFont="1" applyFill="1" applyAlignment="1" applyProtection="1">
      <alignment horizontal="center" textRotation="90"/>
      <protection hidden="1"/>
    </xf>
    <xf numFmtId="165" fontId="58" fillId="0" borderId="0" xfId="3" applyNumberFormat="1" applyFont="1" applyAlignment="1" applyProtection="1">
      <alignment horizontal="left" vertical="center"/>
      <protection hidden="1"/>
    </xf>
    <xf numFmtId="0" fontId="79" fillId="0" borderId="0" xfId="3" applyFont="1" applyAlignment="1" applyProtection="1">
      <alignment horizontal="center" textRotation="90"/>
      <protection hidden="1"/>
    </xf>
    <xf numFmtId="0" fontId="99" fillId="0" borderId="0" xfId="3" applyFont="1" applyAlignment="1" applyProtection="1">
      <alignment horizontal="center" textRotation="90"/>
      <protection hidden="1"/>
    </xf>
    <xf numFmtId="0" fontId="45" fillId="9" borderId="0" xfId="3" applyFont="1" applyFill="1" applyAlignment="1" applyProtection="1">
      <alignment vertical="top"/>
      <protection hidden="1"/>
    </xf>
    <xf numFmtId="0" fontId="45" fillId="23" borderId="0" xfId="3" applyFont="1" applyFill="1"/>
    <xf numFmtId="165" fontId="77" fillId="0" borderId="0" xfId="3" applyNumberFormat="1" applyFont="1" applyAlignment="1" applyProtection="1">
      <alignment horizontal="left"/>
      <protection hidden="1"/>
    </xf>
    <xf numFmtId="0" fontId="50" fillId="0" borderId="0" xfId="3" applyFont="1" applyAlignment="1" applyProtection="1">
      <alignment horizontal="center"/>
      <protection hidden="1"/>
    </xf>
    <xf numFmtId="9" fontId="45" fillId="23" borderId="0" xfId="3" applyNumberFormat="1" applyFont="1" applyFill="1" applyAlignment="1" applyProtection="1">
      <alignment horizontal="left"/>
      <protection hidden="1"/>
    </xf>
    <xf numFmtId="0" fontId="44" fillId="0" borderId="0" xfId="3" applyFont="1" applyAlignment="1" applyProtection="1">
      <alignment horizontal="center" vertical="center"/>
      <protection hidden="1"/>
    </xf>
    <xf numFmtId="166" fontId="80" fillId="23" borderId="0" xfId="9" applyNumberFormat="1" applyFont="1" applyFill="1" applyAlignment="1" applyProtection="1">
      <alignment horizontal="left" vertical="center"/>
      <protection hidden="1"/>
    </xf>
    <xf numFmtId="0" fontId="45" fillId="23" borderId="0" xfId="3" applyFont="1" applyFill="1" applyAlignment="1" applyProtection="1">
      <alignment horizontal="left" vertical="center"/>
      <protection hidden="1"/>
    </xf>
    <xf numFmtId="166" fontId="88" fillId="23" borderId="0" xfId="9" applyNumberFormat="1" applyFont="1" applyFill="1" applyAlignment="1" applyProtection="1">
      <alignment horizontal="right" vertical="top"/>
      <protection hidden="1"/>
    </xf>
    <xf numFmtId="0" fontId="44" fillId="23" borderId="0" xfId="3" applyFont="1" applyFill="1" applyAlignment="1" applyProtection="1">
      <alignment horizontal="center"/>
      <protection hidden="1"/>
    </xf>
    <xf numFmtId="165" fontId="79" fillId="0" borderId="0" xfId="3" applyNumberFormat="1" applyFont="1" applyAlignment="1" applyProtection="1">
      <alignment horizontal="left"/>
      <protection hidden="1"/>
    </xf>
    <xf numFmtId="0" fontId="79" fillId="0" borderId="0" xfId="3" applyFont="1" applyAlignment="1" applyProtection="1">
      <alignment horizontal="center"/>
      <protection hidden="1"/>
    </xf>
    <xf numFmtId="0" fontId="75" fillId="0" borderId="0" xfId="3" applyFont="1" applyAlignment="1" applyProtection="1">
      <alignment horizontal="center"/>
      <protection hidden="1"/>
    </xf>
    <xf numFmtId="0" fontId="110" fillId="0" borderId="0" xfId="3" applyFont="1" applyProtection="1">
      <protection hidden="1"/>
    </xf>
    <xf numFmtId="9" fontId="43" fillId="0" borderId="0" xfId="10" applyFont="1" applyAlignment="1" applyProtection="1">
      <alignment horizontal="center"/>
      <protection hidden="1"/>
    </xf>
    <xf numFmtId="0" fontId="43" fillId="0" borderId="0" xfId="3" applyFont="1" applyAlignment="1" applyProtection="1">
      <alignment horizontal="center"/>
      <protection hidden="1"/>
    </xf>
    <xf numFmtId="0" fontId="45" fillId="9" borderId="0" xfId="3" applyFont="1" applyFill="1" applyProtection="1">
      <protection locked="0" hidden="1"/>
    </xf>
    <xf numFmtId="0" fontId="110" fillId="9" borderId="0" xfId="3" applyFont="1" applyFill="1" applyProtection="1">
      <protection hidden="1"/>
    </xf>
    <xf numFmtId="0" fontId="43" fillId="9" borderId="0" xfId="3" applyFont="1" applyFill="1" applyAlignment="1" applyProtection="1">
      <alignment horizontal="left" textRotation="90"/>
      <protection hidden="1"/>
    </xf>
    <xf numFmtId="0" fontId="44" fillId="9" borderId="0" xfId="3" applyFont="1" applyFill="1" applyProtection="1">
      <protection hidden="1"/>
    </xf>
    <xf numFmtId="0" fontId="77" fillId="0" borderId="0" xfId="3" applyFont="1" applyAlignment="1" applyProtection="1">
      <alignment horizontal="center"/>
      <protection hidden="1"/>
    </xf>
    <xf numFmtId="0" fontId="77" fillId="10" borderId="0" xfId="3" applyFont="1" applyFill="1" applyAlignment="1" applyProtection="1">
      <alignment horizontal="center" vertical="center"/>
      <protection hidden="1"/>
    </xf>
    <xf numFmtId="0" fontId="111" fillId="0" borderId="0" xfId="3" applyFont="1" applyAlignment="1" applyProtection="1">
      <alignment horizontal="right" vertical="top" wrapText="1"/>
      <protection hidden="1"/>
    </xf>
    <xf numFmtId="0" fontId="74" fillId="10" borderId="0" xfId="3" applyFont="1" applyFill="1" applyAlignment="1" applyProtection="1">
      <alignment horizontal="right"/>
      <protection hidden="1"/>
    </xf>
    <xf numFmtId="0" fontId="63" fillId="10" borderId="0" xfId="3" applyFont="1" applyFill="1" applyAlignment="1" applyProtection="1">
      <alignment horizontal="left"/>
      <protection hidden="1"/>
    </xf>
    <xf numFmtId="0" fontId="74" fillId="10" borderId="0" xfId="3" applyFont="1" applyFill="1" applyAlignment="1" applyProtection="1">
      <alignment horizontal="center" vertical="center" wrapText="1"/>
      <protection hidden="1"/>
    </xf>
    <xf numFmtId="0" fontId="74" fillId="10" borderId="0" xfId="3" applyFont="1" applyFill="1" applyAlignment="1" applyProtection="1">
      <alignment vertical="center" wrapText="1"/>
      <protection hidden="1"/>
    </xf>
    <xf numFmtId="0" fontId="74" fillId="10" borderId="0" xfId="3" applyFont="1" applyFill="1" applyAlignment="1" applyProtection="1">
      <alignment horizontal="left" vertical="center" wrapText="1"/>
      <protection hidden="1"/>
    </xf>
    <xf numFmtId="0" fontId="63" fillId="9" borderId="0" xfId="3" applyFont="1" applyFill="1" applyAlignment="1" applyProtection="1">
      <alignment horizontal="left"/>
      <protection hidden="1"/>
    </xf>
    <xf numFmtId="0" fontId="74" fillId="10" borderId="0" xfId="3" applyFont="1" applyFill="1" applyAlignment="1" applyProtection="1">
      <alignment horizontal="right" vertical="center" wrapText="1"/>
      <protection hidden="1"/>
    </xf>
    <xf numFmtId="0" fontId="74" fillId="0" borderId="0" xfId="3" applyFont="1" applyAlignment="1" applyProtection="1">
      <alignment vertical="center" wrapText="1"/>
      <protection hidden="1"/>
    </xf>
    <xf numFmtId="0" fontId="58" fillId="23" borderId="0" xfId="3" applyFont="1" applyFill="1" applyAlignment="1" applyProtection="1">
      <alignment horizontal="center" vertical="center"/>
      <protection hidden="1"/>
    </xf>
    <xf numFmtId="165" fontId="45" fillId="9" borderId="0" xfId="3" applyNumberFormat="1" applyFont="1" applyFill="1" applyAlignment="1" applyProtection="1">
      <alignment vertical="top"/>
      <protection hidden="1"/>
    </xf>
    <xf numFmtId="0" fontId="112" fillId="8" borderId="0" xfId="3" applyFont="1" applyFill="1" applyAlignment="1" applyProtection="1">
      <alignment horizontal="right" vertical="top" wrapText="1"/>
      <protection hidden="1"/>
    </xf>
    <xf numFmtId="0" fontId="63" fillId="8" borderId="0" xfId="3" applyFont="1" applyFill="1" applyAlignment="1" applyProtection="1">
      <alignment horizontal="left"/>
      <protection hidden="1"/>
    </xf>
    <xf numFmtId="0" fontId="46" fillId="8" borderId="14" xfId="3" applyFont="1" applyFill="1" applyBorder="1" applyAlignment="1" applyProtection="1">
      <alignment horizontal="right" vertical="top"/>
      <protection locked="0"/>
    </xf>
    <xf numFmtId="0" fontId="43" fillId="0" borderId="0" xfId="3" applyFont="1" applyAlignment="1" applyProtection="1">
      <alignment horizontal="center" vertical="top"/>
      <protection hidden="1"/>
    </xf>
    <xf numFmtId="0" fontId="43" fillId="23" borderId="0" xfId="3" applyFont="1" applyFill="1" applyAlignment="1" applyProtection="1">
      <alignment horizontal="center" vertical="top"/>
      <protection hidden="1"/>
    </xf>
    <xf numFmtId="14" fontId="45" fillId="9" borderId="0" xfId="3" applyNumberFormat="1" applyFont="1" applyFill="1" applyProtection="1">
      <protection hidden="1"/>
    </xf>
    <xf numFmtId="0" fontId="92" fillId="0" borderId="0" xfId="3" applyFont="1" applyAlignment="1" applyProtection="1">
      <alignment horizontal="right" vertical="top" wrapText="1"/>
      <protection hidden="1"/>
    </xf>
    <xf numFmtId="0" fontId="58" fillId="0" borderId="0" xfId="3" applyFont="1" applyAlignment="1" applyProtection="1">
      <alignment horizontal="center" vertical="center"/>
      <protection hidden="1"/>
    </xf>
    <xf numFmtId="0" fontId="112" fillId="23" borderId="0" xfId="3" applyFont="1" applyFill="1" applyAlignment="1" applyProtection="1">
      <alignment horizontal="right" vertical="top" wrapText="1"/>
      <protection hidden="1"/>
    </xf>
    <xf numFmtId="0" fontId="63" fillId="23" borderId="0" xfId="3" applyFont="1" applyFill="1" applyAlignment="1" applyProtection="1">
      <alignment horizontal="left"/>
      <protection hidden="1"/>
    </xf>
    <xf numFmtId="0" fontId="46" fillId="23" borderId="14" xfId="3" applyFont="1" applyFill="1" applyBorder="1" applyAlignment="1" applyProtection="1">
      <alignment horizontal="right" vertical="top"/>
      <protection locked="0"/>
    </xf>
    <xf numFmtId="0" fontId="92" fillId="8" borderId="0" xfId="3" applyFont="1" applyFill="1" applyAlignment="1" applyProtection="1">
      <alignment horizontal="left" vertical="top" wrapText="1"/>
      <protection hidden="1"/>
    </xf>
    <xf numFmtId="0" fontId="92" fillId="9" borderId="0" xfId="3" applyFont="1" applyFill="1" applyAlignment="1" applyProtection="1">
      <alignment horizontal="left" vertical="top" wrapText="1"/>
      <protection hidden="1"/>
    </xf>
    <xf numFmtId="0" fontId="45" fillId="8" borderId="0" xfId="3" applyFont="1" applyFill="1" applyAlignment="1" applyProtection="1">
      <alignment horizontal="left" vertical="top" wrapText="1"/>
      <protection hidden="1"/>
    </xf>
    <xf numFmtId="0" fontId="45" fillId="9" borderId="0" xfId="3" applyFont="1" applyFill="1" applyAlignment="1" applyProtection="1">
      <alignment horizontal="left" vertical="top" wrapText="1"/>
      <protection hidden="1"/>
    </xf>
    <xf numFmtId="0" fontId="82" fillId="9" borderId="0" xfId="3" applyFont="1" applyFill="1" applyAlignment="1" applyProtection="1">
      <alignment horizontal="right" vertical="top"/>
      <protection hidden="1"/>
    </xf>
    <xf numFmtId="0" fontId="77" fillId="0" borderId="0" xfId="3" applyFont="1" applyAlignment="1" applyProtection="1">
      <alignment horizontal="left" vertical="top" wrapText="1"/>
      <protection hidden="1"/>
    </xf>
    <xf numFmtId="0" fontId="43" fillId="0" borderId="0" xfId="3" applyFont="1" applyAlignment="1" applyProtection="1">
      <alignment horizontal="center" vertical="top"/>
      <protection locked="0" hidden="1"/>
    </xf>
    <xf numFmtId="49" fontId="44" fillId="0" borderId="0" xfId="3" applyNumberFormat="1" applyFont="1" applyAlignment="1" applyProtection="1">
      <alignment horizontal="left" vertical="top" wrapText="1"/>
      <protection hidden="1"/>
    </xf>
    <xf numFmtId="49" fontId="114" fillId="0" borderId="0" xfId="3" applyNumberFormat="1" applyFont="1" applyAlignment="1" applyProtection="1">
      <alignment horizontal="left" vertical="center" wrapText="1"/>
      <protection hidden="1"/>
    </xf>
    <xf numFmtId="1" fontId="115" fillId="0" borderId="0" xfId="3" applyNumberFormat="1" applyFont="1" applyAlignment="1" applyProtection="1">
      <alignment horizontal="center" vertical="center" wrapText="1"/>
      <protection hidden="1"/>
    </xf>
    <xf numFmtId="1" fontId="115" fillId="9" borderId="0" xfId="3" applyNumberFormat="1" applyFont="1" applyFill="1" applyAlignment="1" applyProtection="1">
      <alignment horizontal="center" vertical="center" wrapText="1"/>
      <protection hidden="1"/>
    </xf>
    <xf numFmtId="1" fontId="116" fillId="0" borderId="0" xfId="3" applyNumberFormat="1" applyFont="1" applyAlignment="1" applyProtection="1">
      <alignment horizontal="center" vertical="center" wrapText="1"/>
      <protection hidden="1"/>
    </xf>
    <xf numFmtId="0" fontId="77" fillId="0" borderId="0" xfId="3" applyFont="1" applyAlignment="1" applyProtection="1">
      <alignment horizontal="center" vertical="center"/>
      <protection hidden="1"/>
    </xf>
    <xf numFmtId="0" fontId="44" fillId="0" borderId="0" xfId="3" applyFont="1" applyAlignment="1" applyProtection="1">
      <alignment horizontal="center" vertical="top"/>
      <protection hidden="1"/>
    </xf>
    <xf numFmtId="0" fontId="77" fillId="9" borderId="0" xfId="3" applyFont="1" applyFill="1" applyAlignment="1" applyProtection="1">
      <alignment horizontal="right" vertical="top"/>
      <protection hidden="1"/>
    </xf>
    <xf numFmtId="0" fontId="50" fillId="0" borderId="0" xfId="3" applyFont="1" applyAlignment="1">
      <alignment vertical="top"/>
    </xf>
    <xf numFmtId="0" fontId="117" fillId="0" borderId="0" xfId="3" applyFont="1" applyProtection="1">
      <protection hidden="1"/>
    </xf>
    <xf numFmtId="0" fontId="117" fillId="9" borderId="0" xfId="3" applyFont="1" applyFill="1" applyAlignment="1" applyProtection="1">
      <alignment vertical="top"/>
      <protection hidden="1"/>
    </xf>
    <xf numFmtId="0" fontId="118" fillId="0" borderId="16" xfId="3" applyFont="1" applyBorder="1" applyAlignment="1" applyProtection="1">
      <alignment horizontal="center" vertical="top"/>
      <protection locked="0" hidden="1"/>
    </xf>
    <xf numFmtId="0" fontId="118" fillId="0" borderId="17" xfId="3" applyFont="1" applyBorder="1" applyAlignment="1" applyProtection="1">
      <alignment horizontal="center" vertical="top"/>
      <protection locked="0" hidden="1"/>
    </xf>
    <xf numFmtId="0" fontId="117" fillId="9" borderId="17" xfId="3" applyFont="1" applyFill="1" applyBorder="1" applyProtection="1">
      <protection hidden="1"/>
    </xf>
    <xf numFmtId="0" fontId="117" fillId="0" borderId="17" xfId="3" applyFont="1" applyBorder="1" applyProtection="1">
      <protection hidden="1"/>
    </xf>
    <xf numFmtId="0" fontId="117" fillId="9" borderId="18" xfId="3" applyFont="1" applyFill="1" applyBorder="1" applyProtection="1">
      <protection hidden="1"/>
    </xf>
    <xf numFmtId="0" fontId="118" fillId="0" borderId="19" xfId="3" applyFont="1" applyBorder="1" applyAlignment="1" applyProtection="1">
      <alignment horizontal="center" vertical="top"/>
      <protection locked="0" hidden="1"/>
    </xf>
    <xf numFmtId="0" fontId="118" fillId="0" borderId="0" xfId="3" applyFont="1" applyAlignment="1" applyProtection="1">
      <alignment horizontal="center" vertical="top"/>
      <protection locked="0" hidden="1"/>
    </xf>
    <xf numFmtId="0" fontId="117" fillId="9" borderId="0" xfId="3" applyFont="1" applyFill="1" applyProtection="1">
      <protection hidden="1"/>
    </xf>
    <xf numFmtId="0" fontId="117" fillId="9" borderId="20" xfId="3" applyFont="1" applyFill="1" applyBorder="1" applyProtection="1">
      <protection hidden="1"/>
    </xf>
    <xf numFmtId="0" fontId="117" fillId="0" borderId="19" xfId="3" applyFont="1" applyBorder="1" applyAlignment="1" applyProtection="1">
      <alignment horizontal="center"/>
      <protection hidden="1"/>
    </xf>
    <xf numFmtId="0" fontId="117" fillId="0" borderId="0" xfId="3" applyFont="1" applyAlignment="1" applyProtection="1">
      <alignment horizontal="center"/>
      <protection hidden="1"/>
    </xf>
    <xf numFmtId="0" fontId="118" fillId="0" borderId="21" xfId="3" applyFont="1" applyBorder="1" applyAlignment="1" applyProtection="1">
      <alignment horizontal="center" vertical="top"/>
      <protection locked="0" hidden="1"/>
    </xf>
    <xf numFmtId="0" fontId="118" fillId="0" borderId="22" xfId="3" applyFont="1" applyBorder="1" applyAlignment="1" applyProtection="1">
      <alignment horizontal="center" vertical="top"/>
      <protection locked="0" hidden="1"/>
    </xf>
    <xf numFmtId="0" fontId="117" fillId="9" borderId="22" xfId="3" applyFont="1" applyFill="1" applyBorder="1" applyProtection="1">
      <protection hidden="1"/>
    </xf>
    <xf numFmtId="0" fontId="117" fillId="0" borderId="22" xfId="3" applyFont="1" applyBorder="1" applyProtection="1">
      <protection hidden="1"/>
    </xf>
    <xf numFmtId="0" fontId="117" fillId="9" borderId="23" xfId="3" applyFont="1" applyFill="1" applyBorder="1" applyProtection="1">
      <protection hidden="1"/>
    </xf>
    <xf numFmtId="166" fontId="108" fillId="23" borderId="0" xfId="9" applyNumberFormat="1" applyFont="1" applyFill="1" applyAlignment="1" applyProtection="1">
      <alignment horizontal="left"/>
      <protection hidden="1"/>
    </xf>
    <xf numFmtId="166" fontId="45" fillId="23" borderId="0" xfId="9" applyNumberFormat="1" applyFont="1" applyFill="1" applyAlignment="1" applyProtection="1">
      <alignment horizontal="left"/>
      <protection hidden="1"/>
    </xf>
    <xf numFmtId="0" fontId="75" fillId="9" borderId="0" xfId="3" applyFont="1" applyFill="1" applyAlignment="1" applyProtection="1">
      <alignment vertical="top"/>
      <protection hidden="1"/>
    </xf>
    <xf numFmtId="0" fontId="46" fillId="9" borderId="14" xfId="3" applyFont="1" applyFill="1" applyBorder="1" applyAlignment="1" applyProtection="1">
      <alignment horizontal="right" vertical="top"/>
      <protection locked="0"/>
    </xf>
    <xf numFmtId="0" fontId="43" fillId="0" borderId="15" xfId="3" applyFont="1" applyBorder="1" applyAlignment="1" applyProtection="1">
      <alignment horizontal="center" vertical="top"/>
      <protection hidden="1"/>
    </xf>
    <xf numFmtId="0" fontId="45" fillId="9" borderId="0" xfId="3" applyFont="1" applyFill="1" applyAlignment="1" applyProtection="1">
      <alignment horizontal="left" vertical="top"/>
      <protection hidden="1"/>
    </xf>
    <xf numFmtId="0" fontId="112" fillId="8" borderId="0" xfId="3" applyFont="1" applyFill="1" applyAlignment="1" applyProtection="1">
      <alignment horizontal="right" vertical="center" wrapText="1"/>
      <protection hidden="1"/>
    </xf>
    <xf numFmtId="0" fontId="118" fillId="0" borderId="16" xfId="3" applyFont="1" applyBorder="1" applyAlignment="1" applyProtection="1">
      <alignment horizontal="center" vertical="top"/>
      <protection hidden="1"/>
    </xf>
    <xf numFmtId="0" fontId="118" fillId="0" borderId="17" xfId="3" applyFont="1" applyBorder="1" applyAlignment="1" applyProtection="1">
      <alignment horizontal="center" vertical="top"/>
      <protection hidden="1"/>
    </xf>
    <xf numFmtId="0" fontId="117" fillId="9" borderId="17" xfId="3" applyFont="1" applyFill="1" applyBorder="1" applyAlignment="1" applyProtection="1">
      <alignment vertical="top"/>
      <protection hidden="1"/>
    </xf>
    <xf numFmtId="14" fontId="117" fillId="9" borderId="17" xfId="3" applyNumberFormat="1" applyFont="1" applyFill="1" applyBorder="1" applyProtection="1">
      <protection hidden="1"/>
    </xf>
    <xf numFmtId="0" fontId="118" fillId="0" borderId="19" xfId="3" applyFont="1" applyBorder="1" applyAlignment="1" applyProtection="1">
      <alignment horizontal="center" vertical="top"/>
      <protection hidden="1"/>
    </xf>
    <xf numFmtId="0" fontId="118" fillId="0" borderId="0" xfId="3" applyFont="1" applyAlignment="1" applyProtection="1">
      <alignment horizontal="center" vertical="top"/>
      <protection hidden="1"/>
    </xf>
    <xf numFmtId="0" fontId="117" fillId="9" borderId="0" xfId="3" applyFont="1" applyFill="1" applyAlignment="1" applyProtection="1">
      <alignment horizontal="left" vertical="top"/>
      <protection locked="0" hidden="1"/>
    </xf>
    <xf numFmtId="166" fontId="117" fillId="9" borderId="0" xfId="9" applyNumberFormat="1" applyFont="1" applyFill="1" applyAlignment="1" applyProtection="1">
      <alignment horizontal="left" vertical="top"/>
      <protection hidden="1"/>
    </xf>
    <xf numFmtId="0" fontId="117" fillId="9" borderId="20" xfId="3" applyFont="1" applyFill="1" applyBorder="1" applyProtection="1">
      <protection locked="0" hidden="1"/>
    </xf>
    <xf numFmtId="9" fontId="117" fillId="9" borderId="0" xfId="10" applyFont="1" applyFill="1" applyProtection="1">
      <protection hidden="1"/>
    </xf>
    <xf numFmtId="9" fontId="119" fillId="9" borderId="20" xfId="10" applyFont="1" applyFill="1" applyBorder="1" applyProtection="1">
      <protection locked="0" hidden="1"/>
    </xf>
    <xf numFmtId="0" fontId="117" fillId="9" borderId="0" xfId="3" applyFont="1" applyFill="1" applyProtection="1">
      <protection locked="0" hidden="1"/>
    </xf>
    <xf numFmtId="0" fontId="118" fillId="0" borderId="19" xfId="3" applyFont="1" applyBorder="1" applyAlignment="1" applyProtection="1">
      <alignment horizontal="center" vertical="center"/>
      <protection locked="0" hidden="1"/>
    </xf>
    <xf numFmtId="0" fontId="118" fillId="0" borderId="0" xfId="3" applyFont="1" applyAlignment="1" applyProtection="1">
      <alignment horizontal="center" vertical="center"/>
      <protection locked="0" hidden="1"/>
    </xf>
    <xf numFmtId="0" fontId="118" fillId="0" borderId="0" xfId="3" applyFont="1" applyAlignment="1" applyProtection="1">
      <alignment horizontal="center" vertical="center"/>
      <protection hidden="1"/>
    </xf>
    <xf numFmtId="0" fontId="118" fillId="0" borderId="22" xfId="3" applyFont="1" applyBorder="1" applyAlignment="1" applyProtection="1">
      <alignment horizontal="center" vertical="top"/>
      <protection hidden="1"/>
    </xf>
    <xf numFmtId="0" fontId="117" fillId="9" borderId="22" xfId="3" applyFont="1" applyFill="1" applyBorder="1" applyProtection="1">
      <protection locked="0" hidden="1"/>
    </xf>
    <xf numFmtId="0" fontId="117" fillId="9" borderId="23" xfId="3" applyFont="1" applyFill="1" applyBorder="1" applyProtection="1">
      <protection locked="0" hidden="1"/>
    </xf>
    <xf numFmtId="0" fontId="39" fillId="0" borderId="0" xfId="19" applyFont="1" applyAlignment="1" applyProtection="1">
      <alignment vertical="center"/>
      <protection hidden="1"/>
    </xf>
    <xf numFmtId="0" fontId="39" fillId="0" borderId="3" xfId="19" applyFont="1" applyBorder="1" applyAlignment="1" applyProtection="1">
      <alignment vertical="center"/>
      <protection hidden="1"/>
    </xf>
    <xf numFmtId="0" fontId="40" fillId="0" borderId="3" xfId="19" applyFont="1" applyBorder="1" applyAlignment="1" applyProtection="1">
      <alignment vertical="center"/>
      <protection hidden="1"/>
    </xf>
    <xf numFmtId="0" fontId="42" fillId="0" borderId="0" xfId="19" applyFont="1" applyAlignment="1" applyProtection="1">
      <alignment vertical="center"/>
      <protection hidden="1"/>
    </xf>
    <xf numFmtId="0" fontId="44" fillId="0" borderId="0" xfId="19" applyFont="1" applyProtection="1">
      <protection hidden="1"/>
    </xf>
    <xf numFmtId="0" fontId="45" fillId="0" borderId="0" xfId="19" applyFont="1" applyProtection="1">
      <protection hidden="1"/>
    </xf>
    <xf numFmtId="0" fontId="46" fillId="0" borderId="0" xfId="19" applyFont="1" applyAlignment="1">
      <alignment vertical="top"/>
    </xf>
    <xf numFmtId="0" fontId="58" fillId="0" borderId="0" xfId="19" applyFont="1" applyProtection="1">
      <protection hidden="1"/>
    </xf>
    <xf numFmtId="0" fontId="77" fillId="0" borderId="0" xfId="19" applyFont="1" applyProtection="1">
      <protection hidden="1"/>
    </xf>
    <xf numFmtId="0" fontId="80" fillId="0" borderId="0" xfId="19" applyFont="1" applyAlignment="1" applyProtection="1">
      <alignment horizontal="right"/>
      <protection hidden="1"/>
    </xf>
    <xf numFmtId="0" fontId="45" fillId="23" borderId="0" xfId="19" applyFont="1" applyFill="1" applyProtection="1">
      <protection hidden="1"/>
    </xf>
    <xf numFmtId="0" fontId="45" fillId="23" borderId="0" xfId="19" applyFont="1" applyFill="1" applyProtection="1">
      <protection locked="0"/>
    </xf>
    <xf numFmtId="14" fontId="45" fillId="23" borderId="0" xfId="19" applyNumberFormat="1" applyFont="1" applyFill="1" applyAlignment="1" applyProtection="1">
      <alignment horizontal="left"/>
      <protection locked="0"/>
    </xf>
    <xf numFmtId="0" fontId="120" fillId="36" borderId="44" xfId="19" applyFont="1" applyFill="1" applyBorder="1" applyProtection="1">
      <protection hidden="1"/>
    </xf>
    <xf numFmtId="49" fontId="44" fillId="0" borderId="46" xfId="19" applyNumberFormat="1" applyFont="1" applyBorder="1" applyAlignment="1" applyProtection="1">
      <alignment vertical="center" wrapText="1" shrinkToFit="1"/>
      <protection hidden="1"/>
    </xf>
    <xf numFmtId="49" fontId="44" fillId="0" borderId="13" xfId="19" applyNumberFormat="1" applyFont="1" applyBorder="1" applyAlignment="1" applyProtection="1">
      <alignment vertical="center" wrapText="1" shrinkToFit="1"/>
      <protection hidden="1"/>
    </xf>
    <xf numFmtId="49" fontId="44" fillId="0" borderId="47" xfId="19" applyNumberFormat="1" applyFont="1" applyBorder="1" applyAlignment="1" applyProtection="1">
      <alignment vertical="center" wrapText="1" shrinkToFit="1"/>
      <protection hidden="1"/>
    </xf>
    <xf numFmtId="0" fontId="44" fillId="0" borderId="46" xfId="19" applyFont="1" applyBorder="1" applyAlignment="1" applyProtection="1">
      <alignment horizontal="left" vertical="center" wrapText="1" shrinkToFit="1"/>
      <protection hidden="1"/>
    </xf>
    <xf numFmtId="0" fontId="44" fillId="0" borderId="9" xfId="19" applyFont="1" applyBorder="1" applyAlignment="1" applyProtection="1">
      <alignment horizontal="left" vertical="center" wrapText="1" shrinkToFit="1"/>
      <protection hidden="1"/>
    </xf>
    <xf numFmtId="0" fontId="44" fillId="0" borderId="47" xfId="19" applyFont="1" applyBorder="1" applyAlignment="1" applyProtection="1">
      <alignment horizontal="left" vertical="center" wrapText="1" shrinkToFit="1"/>
      <protection hidden="1"/>
    </xf>
    <xf numFmtId="0" fontId="44" fillId="0" borderId="48" xfId="19" applyFont="1" applyBorder="1" applyAlignment="1" applyProtection="1">
      <alignment horizontal="left" vertical="center" wrapText="1" shrinkToFit="1"/>
      <protection hidden="1"/>
    </xf>
    <xf numFmtId="49" fontId="44" fillId="0" borderId="47" xfId="19" applyNumberFormat="1" applyFont="1" applyBorder="1" applyAlignment="1" applyProtection="1">
      <alignment horizontal="left" vertical="center" wrapText="1" shrinkToFit="1"/>
      <protection hidden="1"/>
    </xf>
    <xf numFmtId="49" fontId="44" fillId="0" borderId="15" xfId="19" applyNumberFormat="1" applyFont="1" applyBorder="1" applyAlignment="1" applyProtection="1">
      <alignment horizontal="left" vertical="center" wrapText="1" shrinkToFit="1"/>
      <protection hidden="1"/>
    </xf>
    <xf numFmtId="49" fontId="44" fillId="0" borderId="13" xfId="19" applyNumberFormat="1" applyFont="1" applyBorder="1" applyAlignment="1" applyProtection="1">
      <alignment horizontal="left" vertical="center" wrapText="1" shrinkToFit="1"/>
      <protection hidden="1"/>
    </xf>
    <xf numFmtId="49" fontId="44" fillId="0" borderId="9" xfId="19" applyNumberFormat="1" applyFont="1" applyBorder="1" applyAlignment="1" applyProtection="1">
      <alignment horizontal="left" vertical="center" wrapText="1" shrinkToFit="1"/>
      <protection hidden="1"/>
    </xf>
    <xf numFmtId="49" fontId="44" fillId="0" borderId="8" xfId="19" applyNumberFormat="1" applyFont="1" applyBorder="1" applyAlignment="1" applyProtection="1">
      <alignment horizontal="left" vertical="center" wrapText="1" shrinkToFit="1"/>
      <protection hidden="1"/>
    </xf>
    <xf numFmtId="49" fontId="120" fillId="36" borderId="44" xfId="19" applyNumberFormat="1" applyFont="1" applyFill="1" applyBorder="1" applyAlignment="1" applyProtection="1">
      <alignment vertical="center" wrapText="1" shrinkToFit="1"/>
      <protection hidden="1"/>
    </xf>
    <xf numFmtId="49" fontId="120" fillId="36" borderId="44" xfId="19" applyNumberFormat="1" applyFont="1" applyFill="1" applyBorder="1" applyAlignment="1" applyProtection="1">
      <alignment wrapText="1" shrinkToFit="1"/>
      <protection hidden="1"/>
    </xf>
    <xf numFmtId="49" fontId="44" fillId="0" borderId="46" xfId="19" applyNumberFormat="1" applyFont="1" applyBorder="1" applyAlignment="1" applyProtection="1">
      <alignment horizontal="left" vertical="center" wrapText="1" shrinkToFit="1"/>
      <protection hidden="1"/>
    </xf>
    <xf numFmtId="0" fontId="44" fillId="0" borderId="13" xfId="19" applyFont="1" applyBorder="1" applyAlignment="1" applyProtection="1">
      <alignment horizontal="left" vertical="center" wrapText="1" shrinkToFit="1"/>
      <protection hidden="1"/>
    </xf>
    <xf numFmtId="0" fontId="39" fillId="0" borderId="3" xfId="0" applyFont="1" applyBorder="1" applyAlignment="1">
      <alignment vertical="center"/>
    </xf>
    <xf numFmtId="0" fontId="40" fillId="0" borderId="3" xfId="0" applyFont="1" applyBorder="1" applyAlignment="1">
      <alignment vertical="center"/>
    </xf>
    <xf numFmtId="0" fontId="73" fillId="0" borderId="0" xfId="0" applyFont="1" applyAlignment="1" applyProtection="1">
      <alignment vertical="center"/>
      <protection hidden="1"/>
    </xf>
    <xf numFmtId="0" fontId="43" fillId="9" borderId="0" xfId="0" applyFont="1" applyFill="1"/>
    <xf numFmtId="0" fontId="79" fillId="10" borderId="71" xfId="0" applyFont="1" applyFill="1" applyBorder="1" applyAlignment="1">
      <alignment vertical="top" wrapText="1"/>
    </xf>
    <xf numFmtId="0" fontId="79" fillId="10" borderId="72" xfId="0" applyFont="1" applyFill="1" applyBorder="1" applyAlignment="1">
      <alignment vertical="top" wrapText="1"/>
    </xf>
    <xf numFmtId="0" fontId="97" fillId="10" borderId="73" xfId="0" applyFont="1" applyFill="1" applyBorder="1" applyAlignment="1">
      <alignment vertical="top" wrapText="1"/>
    </xf>
    <xf numFmtId="0" fontId="44" fillId="0" borderId="55" xfId="0" applyFont="1" applyBorder="1" applyAlignment="1">
      <alignment horizontal="center" vertical="top"/>
    </xf>
    <xf numFmtId="49" fontId="44" fillId="0" borderId="56" xfId="0" applyNumberFormat="1" applyFont="1" applyBorder="1" applyAlignment="1" applyProtection="1">
      <alignment horizontal="left" vertical="top" wrapText="1"/>
      <protection locked="0"/>
    </xf>
    <xf numFmtId="1" fontId="71" fillId="0" borderId="56" xfId="0" applyNumberFormat="1" applyFont="1" applyBorder="1" applyAlignment="1" applyProtection="1">
      <alignment horizontal="center" vertical="top" wrapText="1"/>
      <protection locked="0"/>
    </xf>
    <xf numFmtId="1" fontId="115" fillId="0" borderId="56" xfId="0" applyNumberFormat="1" applyFont="1" applyBorder="1" applyAlignment="1" applyProtection="1">
      <alignment horizontal="center" vertical="top" wrapText="1"/>
      <protection locked="0"/>
    </xf>
    <xf numFmtId="0" fontId="59" fillId="0" borderId="57" xfId="0" applyFont="1" applyBorder="1" applyAlignment="1" applyProtection="1">
      <alignment horizontal="center" vertical="top" wrapText="1"/>
      <protection locked="0"/>
    </xf>
    <xf numFmtId="0" fontId="88" fillId="0" borderId="0" xfId="0" applyFont="1"/>
    <xf numFmtId="1" fontId="88" fillId="0" borderId="0" xfId="0" applyNumberFormat="1" applyFont="1"/>
    <xf numFmtId="49" fontId="44" fillId="0" borderId="59" xfId="0" applyNumberFormat="1" applyFont="1" applyBorder="1" applyAlignment="1" applyProtection="1">
      <alignment horizontal="left" vertical="top" wrapText="1"/>
      <protection locked="0"/>
    </xf>
    <xf numFmtId="1" fontId="71" fillId="0" borderId="59" xfId="0" applyNumberFormat="1" applyFont="1" applyBorder="1" applyAlignment="1" applyProtection="1">
      <alignment horizontal="center" vertical="top" wrapText="1"/>
      <protection locked="0"/>
    </xf>
    <xf numFmtId="1" fontId="115" fillId="0" borderId="59" xfId="0" applyNumberFormat="1" applyFont="1" applyBorder="1" applyAlignment="1" applyProtection="1">
      <alignment horizontal="center" vertical="top" wrapText="1"/>
      <protection locked="0"/>
    </xf>
    <xf numFmtId="49" fontId="44" fillId="0" borderId="59" xfId="0" quotePrefix="1" applyNumberFormat="1" applyFont="1" applyBorder="1" applyAlignment="1" applyProtection="1">
      <alignment horizontal="left" vertical="top" wrapText="1"/>
      <protection locked="0"/>
    </xf>
    <xf numFmtId="0" fontId="59" fillId="0" borderId="60" xfId="0" applyFont="1" applyBorder="1" applyAlignment="1" applyProtection="1">
      <alignment horizontal="center" vertical="top" wrapText="1"/>
      <protection locked="0"/>
    </xf>
    <xf numFmtId="0" fontId="44" fillId="0" borderId="62" xfId="0" applyFont="1" applyBorder="1" applyAlignment="1">
      <alignment horizontal="center" vertical="top"/>
    </xf>
    <xf numFmtId="49" fontId="44" fillId="0" borderId="63" xfId="0" applyNumberFormat="1" applyFont="1" applyBorder="1" applyAlignment="1" applyProtection="1">
      <alignment horizontal="left" vertical="top" wrapText="1"/>
      <protection locked="0"/>
    </xf>
    <xf numFmtId="1" fontId="71" fillId="0" borderId="63" xfId="0" applyNumberFormat="1" applyFont="1" applyBorder="1" applyAlignment="1" applyProtection="1">
      <alignment horizontal="center" vertical="top" wrapText="1"/>
      <protection locked="0"/>
    </xf>
    <xf numFmtId="1" fontId="115" fillId="0" borderId="63" xfId="0" applyNumberFormat="1" applyFont="1" applyBorder="1" applyAlignment="1" applyProtection="1">
      <alignment horizontal="center" vertical="top" wrapText="1"/>
      <protection locked="0"/>
    </xf>
    <xf numFmtId="0" fontId="59" fillId="0" borderId="64" xfId="0" applyFont="1" applyBorder="1" applyAlignment="1" applyProtection="1">
      <alignment horizontal="center" vertical="top" wrapText="1"/>
      <protection locked="0"/>
    </xf>
    <xf numFmtId="0" fontId="103" fillId="9" borderId="0" xfId="0" applyFont="1" applyFill="1" applyAlignment="1">
      <alignment horizontal="left"/>
    </xf>
    <xf numFmtId="0" fontId="121" fillId="0" borderId="0" xfId="0" applyFont="1" applyAlignment="1">
      <alignment vertical="top"/>
    </xf>
    <xf numFmtId="0" fontId="50" fillId="0" borderId="0" xfId="0" applyFont="1" applyAlignment="1" applyProtection="1">
      <alignment horizontal="left"/>
      <protection hidden="1"/>
    </xf>
    <xf numFmtId="0" fontId="56" fillId="0" borderId="0" xfId="0" applyFont="1"/>
    <xf numFmtId="0" fontId="44" fillId="0" borderId="0" xfId="24" applyFont="1" applyProtection="1">
      <protection hidden="1"/>
    </xf>
    <xf numFmtId="0" fontId="89" fillId="0" borderId="3" xfId="24" applyFont="1" applyBorder="1" applyAlignment="1" applyProtection="1">
      <alignment vertical="center"/>
      <protection hidden="1"/>
    </xf>
    <xf numFmtId="0" fontId="40" fillId="0" borderId="3" xfId="24" applyFont="1" applyBorder="1" applyAlignment="1" applyProtection="1">
      <alignment vertical="center"/>
      <protection hidden="1"/>
    </xf>
    <xf numFmtId="0" fontId="64" fillId="0" borderId="3" xfId="24" applyFont="1" applyBorder="1" applyAlignment="1" applyProtection="1">
      <alignment vertical="center"/>
      <protection hidden="1"/>
    </xf>
    <xf numFmtId="0" fontId="81" fillId="0" borderId="0" xfId="24" applyFont="1" applyAlignment="1" applyProtection="1">
      <alignment vertical="center"/>
      <protection hidden="1"/>
    </xf>
    <xf numFmtId="0" fontId="42" fillId="0" borderId="0" xfId="24" applyFont="1" applyAlignment="1" applyProtection="1">
      <alignment vertical="center"/>
      <protection hidden="1"/>
    </xf>
    <xf numFmtId="0" fontId="45" fillId="0" borderId="0" xfId="24" applyFont="1" applyProtection="1">
      <protection locked="0" hidden="1"/>
    </xf>
    <xf numFmtId="0" fontId="45" fillId="0" borderId="0" xfId="24" applyFont="1" applyProtection="1">
      <protection hidden="1"/>
    </xf>
    <xf numFmtId="0" fontId="45" fillId="0" borderId="0" xfId="24" applyFont="1"/>
    <xf numFmtId="0" fontId="122" fillId="0" borderId="0" xfId="24" applyFont="1"/>
    <xf numFmtId="0" fontId="50" fillId="0" borderId="0" xfId="24" applyFont="1"/>
    <xf numFmtId="0" fontId="72" fillId="0" borderId="0" xfId="24" applyFont="1"/>
    <xf numFmtId="0" fontId="56" fillId="0" borderId="0" xfId="24" applyFont="1"/>
    <xf numFmtId="0" fontId="46" fillId="0" borderId="3" xfId="19" applyFont="1" applyBorder="1" applyAlignment="1">
      <alignment horizontal="right" vertical="center"/>
    </xf>
    <xf numFmtId="0" fontId="120" fillId="37" borderId="44" xfId="19" applyFont="1" applyFill="1" applyBorder="1" applyProtection="1">
      <protection hidden="1"/>
    </xf>
    <xf numFmtId="49" fontId="44" fillId="0" borderId="9" xfId="19" applyNumberFormat="1" applyFont="1" applyBorder="1" applyAlignment="1" applyProtection="1">
      <alignment horizontal="center" vertical="center" wrapText="1" shrinkToFit="1"/>
      <protection hidden="1"/>
    </xf>
    <xf numFmtId="0" fontId="120" fillId="37" borderId="44" xfId="19" applyFont="1" applyFill="1" applyBorder="1" applyAlignment="1" applyProtection="1">
      <alignment vertical="center" wrapText="1" shrinkToFit="1"/>
      <protection hidden="1"/>
    </xf>
    <xf numFmtId="0" fontId="120" fillId="37" borderId="44" xfId="19" applyFont="1" applyFill="1" applyBorder="1" applyAlignment="1" applyProtection="1">
      <alignment wrapText="1" shrinkToFit="1"/>
      <protection hidden="1"/>
    </xf>
    <xf numFmtId="49" fontId="44" fillId="0" borderId="51" xfId="19" applyNumberFormat="1" applyFont="1" applyBorder="1" applyAlignment="1" applyProtection="1">
      <alignment horizontal="left" vertical="center" wrapText="1" shrinkToFit="1"/>
      <protection hidden="1"/>
    </xf>
    <xf numFmtId="0" fontId="39" fillId="0" borderId="3" xfId="3" applyFont="1" applyBorder="1" applyAlignment="1">
      <alignment vertical="center"/>
    </xf>
    <xf numFmtId="0" fontId="44" fillId="0" borderId="3" xfId="3" applyFont="1" applyBorder="1" applyProtection="1">
      <protection hidden="1"/>
    </xf>
    <xf numFmtId="0" fontId="39" fillId="0" borderId="0" xfId="3" applyFont="1" applyAlignment="1" applyProtection="1">
      <alignment vertical="center"/>
      <protection locked="0" hidden="1"/>
    </xf>
    <xf numFmtId="0" fontId="64" fillId="0" borderId="0" xfId="3" applyFont="1" applyAlignment="1" applyProtection="1">
      <alignment vertical="center"/>
      <protection hidden="1"/>
    </xf>
    <xf numFmtId="0" fontId="63" fillId="9" borderId="0" xfId="3" applyFont="1" applyFill="1" applyAlignment="1" applyProtection="1">
      <alignment vertical="center"/>
      <protection locked="0" hidden="1"/>
    </xf>
    <xf numFmtId="0" fontId="46" fillId="0" borderId="0" xfId="3" applyFont="1" applyAlignment="1">
      <alignment vertical="top"/>
    </xf>
    <xf numFmtId="0" fontId="65" fillId="0" borderId="0" xfId="3" applyFont="1" applyAlignment="1">
      <alignment vertical="top" textRotation="90" shrinkToFit="1"/>
    </xf>
    <xf numFmtId="0" fontId="65" fillId="0" borderId="0" xfId="3" applyFont="1" applyAlignment="1">
      <alignment horizontal="center" vertical="top" textRotation="90" shrinkToFit="1"/>
    </xf>
    <xf numFmtId="0" fontId="77" fillId="0" borderId="0" xfId="3" applyFont="1" applyAlignment="1">
      <alignment vertical="top"/>
    </xf>
    <xf numFmtId="2" fontId="77" fillId="0" borderId="0" xfId="3" applyNumberFormat="1" applyFont="1" applyAlignment="1">
      <alignment vertical="top"/>
    </xf>
    <xf numFmtId="2" fontId="77" fillId="0" borderId="0" xfId="3" applyNumberFormat="1" applyFont="1"/>
    <xf numFmtId="0" fontId="123" fillId="38" borderId="0" xfId="0" applyFont="1" applyFill="1" applyProtection="1">
      <protection hidden="1"/>
    </xf>
    <xf numFmtId="0" fontId="123" fillId="38" borderId="0" xfId="0" applyFont="1" applyFill="1"/>
    <xf numFmtId="0" fontId="77" fillId="38" borderId="0" xfId="0" applyFont="1" applyFill="1"/>
    <xf numFmtId="0" fontId="80" fillId="39" borderId="56" xfId="0" applyFont="1" applyFill="1" applyBorder="1" applyAlignment="1">
      <alignment vertical="top" wrapText="1"/>
    </xf>
    <xf numFmtId="0" fontId="70" fillId="39" borderId="56" xfId="0" applyFont="1" applyFill="1" applyBorder="1" applyAlignment="1">
      <alignment vertical="top" wrapText="1"/>
    </xf>
    <xf numFmtId="0" fontId="45" fillId="0" borderId="0" xfId="3" applyFont="1" applyAlignment="1">
      <alignment vertical="top"/>
    </xf>
    <xf numFmtId="0" fontId="43" fillId="13" borderId="59" xfId="0" applyFont="1" applyFill="1" applyBorder="1" applyAlignment="1" applyProtection="1">
      <alignment horizontal="center" vertical="top"/>
      <protection hidden="1"/>
    </xf>
    <xf numFmtId="0" fontId="43" fillId="13" borderId="59" xfId="0" applyFont="1" applyFill="1" applyBorder="1" applyAlignment="1" applyProtection="1">
      <alignment horizontal="left" vertical="top" wrapText="1"/>
      <protection locked="0"/>
    </xf>
    <xf numFmtId="1" fontId="71" fillId="13" borderId="59" xfId="0" applyNumberFormat="1" applyFont="1" applyFill="1" applyBorder="1" applyAlignment="1" applyProtection="1">
      <alignment horizontal="center" vertical="top" wrapText="1"/>
      <protection locked="0"/>
    </xf>
    <xf numFmtId="1" fontId="124" fillId="13" borderId="59" xfId="0" applyNumberFormat="1" applyFont="1" applyFill="1" applyBorder="1" applyAlignment="1" applyProtection="1">
      <alignment horizontal="center" vertical="top" wrapText="1"/>
      <protection locked="0"/>
    </xf>
    <xf numFmtId="0" fontId="59" fillId="13" borderId="59" xfId="0" applyFont="1" applyFill="1" applyBorder="1" applyAlignment="1" applyProtection="1">
      <alignment horizontal="center" vertical="top" wrapText="1"/>
      <protection locked="0"/>
    </xf>
    <xf numFmtId="0" fontId="43" fillId="14" borderId="59" xfId="0" applyFont="1" applyFill="1" applyBorder="1" applyAlignment="1" applyProtection="1">
      <alignment horizontal="center" vertical="top"/>
      <protection locked="0"/>
    </xf>
    <xf numFmtId="0" fontId="43" fillId="14" borderId="59" xfId="0" applyFont="1" applyFill="1" applyBorder="1" applyAlignment="1" applyProtection="1">
      <alignment horizontal="left" vertical="top" wrapText="1"/>
      <protection locked="0"/>
    </xf>
    <xf numFmtId="1" fontId="71" fillId="14" borderId="59" xfId="0" applyNumberFormat="1" applyFont="1" applyFill="1" applyBorder="1" applyAlignment="1" applyProtection="1">
      <alignment horizontal="center" vertical="top" wrapText="1"/>
      <protection locked="0"/>
    </xf>
    <xf numFmtId="1" fontId="124" fillId="14" borderId="59" xfId="0" applyNumberFormat="1" applyFont="1" applyFill="1" applyBorder="1" applyAlignment="1" applyProtection="1">
      <alignment horizontal="center" vertical="top" wrapText="1"/>
      <protection locked="0"/>
    </xf>
    <xf numFmtId="0" fontId="59" fillId="14" borderId="59" xfId="0" applyFont="1" applyFill="1" applyBorder="1" applyAlignment="1" applyProtection="1">
      <alignment horizontal="center" vertical="top" wrapText="1"/>
      <protection locked="0"/>
    </xf>
    <xf numFmtId="0" fontId="43" fillId="13" borderId="59" xfId="0" applyFont="1" applyFill="1" applyBorder="1" applyAlignment="1" applyProtection="1">
      <alignment horizontal="center" vertical="top"/>
      <protection locked="0"/>
    </xf>
    <xf numFmtId="0" fontId="43" fillId="0" borderId="0" xfId="0" applyFont="1" applyAlignment="1" applyProtection="1">
      <alignment vertical="top"/>
      <protection hidden="1"/>
    </xf>
    <xf numFmtId="0" fontId="43" fillId="0" borderId="0" xfId="0" applyFont="1" applyAlignment="1">
      <alignment vertical="top"/>
    </xf>
    <xf numFmtId="0" fontId="43" fillId="0" borderId="69" xfId="0" applyFont="1" applyBorder="1" applyAlignment="1">
      <alignment horizontal="right" vertical="top"/>
    </xf>
    <xf numFmtId="2" fontId="43" fillId="0" borderId="70" xfId="0" applyNumberFormat="1" applyFont="1" applyBorder="1" applyAlignment="1">
      <alignment horizontal="center" vertical="top"/>
    </xf>
    <xf numFmtId="2" fontId="43" fillId="0" borderId="0" xfId="0" applyNumberFormat="1" applyFont="1" applyAlignment="1">
      <alignment vertical="top"/>
    </xf>
    <xf numFmtId="0" fontId="123" fillId="40" borderId="0" xfId="0" applyFont="1" applyFill="1" applyAlignment="1" applyProtection="1">
      <alignment vertical="top"/>
      <protection locked="0"/>
    </xf>
    <xf numFmtId="0" fontId="123" fillId="40" borderId="0" xfId="0" applyFont="1" applyFill="1" applyAlignment="1">
      <alignment vertical="top"/>
    </xf>
    <xf numFmtId="0" fontId="77" fillId="40" borderId="0" xfId="0" applyFont="1" applyFill="1" applyAlignment="1">
      <alignment vertical="top"/>
    </xf>
    <xf numFmtId="0" fontId="80" fillId="41" borderId="55" xfId="0" applyFont="1" applyFill="1" applyBorder="1" applyAlignment="1">
      <alignment vertical="top"/>
    </xf>
    <xf numFmtId="0" fontId="80" fillId="41" borderId="56" xfId="0" applyFont="1" applyFill="1" applyBorder="1" applyAlignment="1">
      <alignment vertical="top"/>
    </xf>
    <xf numFmtId="0" fontId="70" fillId="41" borderId="56" xfId="0" applyFont="1" applyFill="1" applyBorder="1" applyAlignment="1">
      <alignment vertical="top" wrapText="1"/>
    </xf>
    <xf numFmtId="0" fontId="70" fillId="41" borderId="57" xfId="0" applyFont="1" applyFill="1" applyBorder="1" applyAlignment="1">
      <alignment vertical="top"/>
    </xf>
    <xf numFmtId="0" fontId="43" fillId="15" borderId="58" xfId="0" applyFont="1" applyFill="1" applyBorder="1" applyAlignment="1" applyProtection="1">
      <alignment horizontal="center" vertical="top"/>
      <protection locked="0"/>
    </xf>
    <xf numFmtId="0" fontId="43" fillId="15" borderId="59" xfId="0" applyFont="1" applyFill="1" applyBorder="1" applyAlignment="1" applyProtection="1">
      <alignment horizontal="left" vertical="top" wrapText="1"/>
      <protection locked="0"/>
    </xf>
    <xf numFmtId="1" fontId="71" fillId="15" borderId="59" xfId="0" applyNumberFormat="1" applyFont="1" applyFill="1" applyBorder="1" applyAlignment="1" applyProtection="1">
      <alignment horizontal="center" vertical="top" wrapText="1"/>
      <protection locked="0"/>
    </xf>
    <xf numFmtId="1" fontId="124" fillId="15" borderId="59" xfId="0" applyNumberFormat="1" applyFont="1" applyFill="1" applyBorder="1" applyAlignment="1" applyProtection="1">
      <alignment horizontal="center" vertical="top" wrapText="1"/>
      <protection locked="0"/>
    </xf>
    <xf numFmtId="0" fontId="59" fillId="15" borderId="60" xfId="0" applyFont="1" applyFill="1" applyBorder="1" applyAlignment="1" applyProtection="1">
      <alignment horizontal="center" vertical="top" wrapText="1"/>
      <protection locked="0"/>
    </xf>
    <xf numFmtId="0" fontId="43" fillId="16" borderId="58" xfId="0" applyFont="1" applyFill="1" applyBorder="1" applyAlignment="1" applyProtection="1">
      <alignment horizontal="center" vertical="top"/>
      <protection locked="0"/>
    </xf>
    <xf numFmtId="0" fontId="43" fillId="16" borderId="59" xfId="0" applyFont="1" applyFill="1" applyBorder="1" applyAlignment="1" applyProtection="1">
      <alignment horizontal="left" vertical="top" wrapText="1"/>
      <protection locked="0"/>
    </xf>
    <xf numFmtId="1" fontId="71" fillId="16" borderId="59" xfId="0" applyNumberFormat="1" applyFont="1" applyFill="1" applyBorder="1" applyAlignment="1" applyProtection="1">
      <alignment horizontal="center" vertical="top" wrapText="1"/>
      <protection locked="0"/>
    </xf>
    <xf numFmtId="1" fontId="124" fillId="16" borderId="59" xfId="0" applyNumberFormat="1" applyFont="1" applyFill="1" applyBorder="1" applyAlignment="1" applyProtection="1">
      <alignment horizontal="center" vertical="top" wrapText="1"/>
      <protection locked="0"/>
    </xf>
    <xf numFmtId="0" fontId="59" fillId="16" borderId="60" xfId="0" applyFont="1" applyFill="1" applyBorder="1" applyAlignment="1" applyProtection="1">
      <alignment horizontal="center" vertical="top" wrapText="1"/>
      <protection locked="0"/>
    </xf>
    <xf numFmtId="0" fontId="56" fillId="0" borderId="0" xfId="3" applyFont="1"/>
    <xf numFmtId="0" fontId="125" fillId="0" borderId="0" xfId="5" applyFont="1" applyAlignment="1" applyProtection="1"/>
    <xf numFmtId="0" fontId="43" fillId="16" borderId="62" xfId="0" applyFont="1" applyFill="1" applyBorder="1" applyAlignment="1" applyProtection="1">
      <alignment horizontal="center" vertical="top"/>
      <protection locked="0"/>
    </xf>
    <xf numFmtId="0" fontId="43" fillId="16" borderId="63" xfId="0" applyFont="1" applyFill="1" applyBorder="1" applyAlignment="1" applyProtection="1">
      <alignment horizontal="left" vertical="top" wrapText="1"/>
      <protection locked="0"/>
    </xf>
    <xf numFmtId="1" fontId="71" fillId="16" borderId="63" xfId="0" applyNumberFormat="1" applyFont="1" applyFill="1" applyBorder="1" applyAlignment="1" applyProtection="1">
      <alignment horizontal="center" vertical="top" wrapText="1"/>
      <protection locked="0"/>
    </xf>
    <xf numFmtId="1" fontId="124" fillId="16" borderId="63" xfId="0" applyNumberFormat="1" applyFont="1" applyFill="1" applyBorder="1" applyAlignment="1" applyProtection="1">
      <alignment horizontal="center" vertical="top" wrapText="1"/>
      <protection locked="0"/>
    </xf>
    <xf numFmtId="0" fontId="59" fillId="16" borderId="64" xfId="0" applyFont="1" applyFill="1" applyBorder="1" applyAlignment="1" applyProtection="1">
      <alignment horizontal="center" vertical="top" wrapText="1"/>
      <protection locked="0"/>
    </xf>
    <xf numFmtId="0" fontId="123" fillId="42" borderId="0" xfId="0" applyFont="1" applyFill="1" applyAlignment="1" applyProtection="1">
      <alignment vertical="top"/>
      <protection locked="0"/>
    </xf>
    <xf numFmtId="0" fontId="123" fillId="42" borderId="0" xfId="0" applyFont="1" applyFill="1" applyAlignment="1">
      <alignment vertical="top"/>
    </xf>
    <xf numFmtId="0" fontId="77" fillId="42" borderId="0" xfId="0" applyFont="1" applyFill="1" applyAlignment="1">
      <alignment vertical="top"/>
    </xf>
    <xf numFmtId="0" fontId="80" fillId="26" borderId="55" xfId="0" applyFont="1" applyFill="1" applyBorder="1" applyAlignment="1">
      <alignment vertical="top" wrapText="1"/>
    </xf>
    <xf numFmtId="0" fontId="80" fillId="26" borderId="56" xfId="0" applyFont="1" applyFill="1" applyBorder="1" applyAlignment="1">
      <alignment vertical="top" wrapText="1"/>
    </xf>
    <xf numFmtId="0" fontId="70" fillId="26" borderId="56" xfId="0" applyFont="1" applyFill="1" applyBorder="1" applyAlignment="1">
      <alignment vertical="top" wrapText="1"/>
    </xf>
    <xf numFmtId="0" fontId="70" fillId="26" borderId="57" xfId="0" applyFont="1" applyFill="1" applyBorder="1" applyAlignment="1">
      <alignment vertical="top" wrapText="1"/>
    </xf>
    <xf numFmtId="0" fontId="43" fillId="12" borderId="58" xfId="0" applyFont="1" applyFill="1" applyBorder="1" applyAlignment="1" applyProtection="1">
      <alignment horizontal="center" vertical="top"/>
      <protection locked="0"/>
    </xf>
    <xf numFmtId="0" fontId="43" fillId="12" borderId="59" xfId="0" applyFont="1" applyFill="1" applyBorder="1" applyAlignment="1" applyProtection="1">
      <alignment horizontal="left" vertical="top" wrapText="1"/>
      <protection locked="0"/>
    </xf>
    <xf numFmtId="1" fontId="71" fillId="12" borderId="59" xfId="0" applyNumberFormat="1" applyFont="1" applyFill="1" applyBorder="1" applyAlignment="1" applyProtection="1">
      <alignment horizontal="center" vertical="top" wrapText="1"/>
      <protection locked="0"/>
    </xf>
    <xf numFmtId="1" fontId="124" fillId="12" borderId="59" xfId="0" applyNumberFormat="1" applyFont="1" applyFill="1" applyBorder="1" applyAlignment="1" applyProtection="1">
      <alignment horizontal="center" vertical="top" wrapText="1"/>
      <protection locked="0"/>
    </xf>
    <xf numFmtId="0" fontId="59" fillId="12" borderId="60" xfId="0" applyFont="1" applyFill="1" applyBorder="1" applyAlignment="1" applyProtection="1">
      <alignment horizontal="center" vertical="top" wrapText="1"/>
      <protection locked="0"/>
    </xf>
    <xf numFmtId="0" fontId="43" fillId="11" borderId="58" xfId="0" applyFont="1" applyFill="1" applyBorder="1" applyAlignment="1" applyProtection="1">
      <alignment horizontal="center" vertical="top"/>
      <protection locked="0"/>
    </xf>
    <xf numFmtId="0" fontId="43" fillId="11" borderId="59" xfId="0" applyFont="1" applyFill="1" applyBorder="1" applyAlignment="1" applyProtection="1">
      <alignment horizontal="left" vertical="top" wrapText="1"/>
      <protection locked="0"/>
    </xf>
    <xf numFmtId="1" fontId="71" fillId="11" borderId="59" xfId="0" applyNumberFormat="1" applyFont="1" applyFill="1" applyBorder="1" applyAlignment="1" applyProtection="1">
      <alignment horizontal="center" vertical="top" wrapText="1"/>
      <protection locked="0"/>
    </xf>
    <xf numFmtId="1" fontId="124" fillId="11" borderId="59" xfId="0" applyNumberFormat="1" applyFont="1" applyFill="1" applyBorder="1" applyAlignment="1" applyProtection="1">
      <alignment horizontal="center" vertical="top" wrapText="1"/>
      <protection locked="0"/>
    </xf>
    <xf numFmtId="0" fontId="59" fillId="11" borderId="60" xfId="0" applyFont="1" applyFill="1" applyBorder="1" applyAlignment="1" applyProtection="1">
      <alignment horizontal="center" vertical="top" wrapText="1"/>
      <protection locked="0"/>
    </xf>
    <xf numFmtId="0" fontId="43" fillId="11" borderId="62" xfId="0" applyFont="1" applyFill="1" applyBorder="1" applyAlignment="1" applyProtection="1">
      <alignment horizontal="center" vertical="top"/>
      <protection locked="0"/>
    </xf>
    <xf numFmtId="0" fontId="43" fillId="11" borderId="63" xfId="0" applyFont="1" applyFill="1" applyBorder="1" applyAlignment="1" applyProtection="1">
      <alignment horizontal="left" vertical="top" wrapText="1"/>
      <protection locked="0"/>
    </xf>
    <xf numFmtId="1" fontId="71" fillId="11" borderId="63" xfId="0" applyNumberFormat="1" applyFont="1" applyFill="1" applyBorder="1" applyAlignment="1" applyProtection="1">
      <alignment horizontal="center" vertical="top" wrapText="1"/>
      <protection locked="0"/>
    </xf>
    <xf numFmtId="1" fontId="124" fillId="11" borderId="63" xfId="0" applyNumberFormat="1" applyFont="1" applyFill="1" applyBorder="1" applyAlignment="1" applyProtection="1">
      <alignment horizontal="center" vertical="top" wrapText="1"/>
      <protection locked="0"/>
    </xf>
    <xf numFmtId="0" fontId="59" fillId="11" borderId="64" xfId="0" applyFont="1" applyFill="1" applyBorder="1" applyAlignment="1" applyProtection="1">
      <alignment horizontal="center" vertical="top" wrapText="1"/>
      <protection locked="0"/>
    </xf>
    <xf numFmtId="0" fontId="123" fillId="43" borderId="0" xfId="0" applyFont="1" applyFill="1" applyAlignment="1" applyProtection="1">
      <alignment vertical="top"/>
      <protection locked="0"/>
    </xf>
    <xf numFmtId="0" fontId="123" fillId="43" borderId="0" xfId="0" applyFont="1" applyFill="1" applyAlignment="1">
      <alignment vertical="top"/>
    </xf>
    <xf numFmtId="0" fontId="77" fillId="43" borderId="0" xfId="0" applyFont="1" applyFill="1" applyAlignment="1">
      <alignment vertical="top"/>
    </xf>
    <xf numFmtId="0" fontId="80" fillId="5" borderId="55" xfId="0" applyFont="1" applyFill="1" applyBorder="1" applyAlignment="1">
      <alignment vertical="top" wrapText="1"/>
    </xf>
    <xf numFmtId="0" fontId="80" fillId="5" borderId="56" xfId="0" applyFont="1" applyFill="1" applyBorder="1" applyAlignment="1">
      <alignment vertical="top" wrapText="1"/>
    </xf>
    <xf numFmtId="0" fontId="70" fillId="5" borderId="56" xfId="0" applyFont="1" applyFill="1" applyBorder="1" applyAlignment="1">
      <alignment vertical="top" wrapText="1"/>
    </xf>
    <xf numFmtId="0" fontId="70" fillId="5" borderId="57" xfId="0" applyFont="1" applyFill="1" applyBorder="1" applyAlignment="1">
      <alignment vertical="top" wrapText="1"/>
    </xf>
    <xf numFmtId="0" fontId="45" fillId="0" borderId="0" xfId="3" applyFont="1" applyAlignment="1">
      <alignment wrapText="1"/>
    </xf>
    <xf numFmtId="0" fontId="43" fillId="17" borderId="58" xfId="0" applyFont="1" applyFill="1" applyBorder="1" applyAlignment="1" applyProtection="1">
      <alignment horizontal="center" vertical="top"/>
      <protection locked="0"/>
    </xf>
    <xf numFmtId="0" fontId="43" fillId="17" borderId="59" xfId="0" applyFont="1" applyFill="1" applyBorder="1" applyAlignment="1" applyProtection="1">
      <alignment horizontal="left" vertical="top" wrapText="1"/>
      <protection locked="0"/>
    </xf>
    <xf numFmtId="1" fontId="71" fillId="17" borderId="59" xfId="0" applyNumberFormat="1" applyFont="1" applyFill="1" applyBorder="1" applyAlignment="1" applyProtection="1">
      <alignment horizontal="center" vertical="top" wrapText="1"/>
      <protection locked="0"/>
    </xf>
    <xf numFmtId="1" fontId="124" fillId="17" borderId="59" xfId="0" applyNumberFormat="1" applyFont="1" applyFill="1" applyBorder="1" applyAlignment="1" applyProtection="1">
      <alignment horizontal="center" vertical="top" wrapText="1"/>
      <protection locked="0"/>
    </xf>
    <xf numFmtId="0" fontId="59" fillId="17" borderId="60" xfId="0" applyFont="1" applyFill="1" applyBorder="1" applyAlignment="1" applyProtection="1">
      <alignment horizontal="center" vertical="top" wrapText="1"/>
      <protection locked="0"/>
    </xf>
    <xf numFmtId="0" fontId="43" fillId="6" borderId="58" xfId="0" applyFont="1" applyFill="1" applyBorder="1" applyAlignment="1" applyProtection="1">
      <alignment horizontal="center" vertical="top"/>
      <protection locked="0"/>
    </xf>
    <xf numFmtId="0" fontId="43" fillId="6" borderId="59" xfId="0" applyFont="1" applyFill="1" applyBorder="1" applyAlignment="1" applyProtection="1">
      <alignment horizontal="left" vertical="top" wrapText="1"/>
      <protection locked="0"/>
    </xf>
    <xf numFmtId="1" fontId="71" fillId="6" borderId="59" xfId="0" applyNumberFormat="1" applyFont="1" applyFill="1" applyBorder="1" applyAlignment="1" applyProtection="1">
      <alignment horizontal="center" vertical="top" wrapText="1"/>
      <protection locked="0"/>
    </xf>
    <xf numFmtId="1" fontId="124" fillId="6" borderId="59" xfId="0" applyNumberFormat="1" applyFont="1" applyFill="1" applyBorder="1" applyAlignment="1" applyProtection="1">
      <alignment horizontal="center" vertical="top" wrapText="1"/>
      <protection locked="0"/>
    </xf>
    <xf numFmtId="0" fontId="59" fillId="6" borderId="60" xfId="0" applyFont="1" applyFill="1" applyBorder="1" applyAlignment="1" applyProtection="1">
      <alignment horizontal="center" vertical="top" wrapText="1"/>
      <protection locked="0"/>
    </xf>
    <xf numFmtId="0" fontId="43" fillId="6" borderId="62" xfId="0" applyFont="1" applyFill="1" applyBorder="1" applyAlignment="1" applyProtection="1">
      <alignment horizontal="center" vertical="top"/>
      <protection locked="0"/>
    </xf>
    <xf numFmtId="0" fontId="43" fillId="6" borderId="63" xfId="0" applyFont="1" applyFill="1" applyBorder="1" applyAlignment="1" applyProtection="1">
      <alignment horizontal="left" vertical="top" wrapText="1"/>
      <protection locked="0"/>
    </xf>
    <xf numFmtId="1" fontId="71" fillId="6" borderId="63" xfId="0" applyNumberFormat="1" applyFont="1" applyFill="1" applyBorder="1" applyAlignment="1" applyProtection="1">
      <alignment horizontal="center" vertical="top" wrapText="1"/>
      <protection locked="0"/>
    </xf>
    <xf numFmtId="1" fontId="124" fillId="6" borderId="63" xfId="0" applyNumberFormat="1" applyFont="1" applyFill="1" applyBorder="1" applyAlignment="1" applyProtection="1">
      <alignment horizontal="center" vertical="top" wrapText="1"/>
      <protection locked="0"/>
    </xf>
    <xf numFmtId="0" fontId="59" fillId="6" borderId="64" xfId="0" applyFont="1" applyFill="1" applyBorder="1" applyAlignment="1" applyProtection="1">
      <alignment horizontal="center" vertical="top" wrapText="1"/>
      <protection locked="0"/>
    </xf>
    <xf numFmtId="0" fontId="123" fillId="44" borderId="0" xfId="0" applyFont="1" applyFill="1" applyAlignment="1" applyProtection="1">
      <alignment vertical="top"/>
      <protection locked="0"/>
    </xf>
    <xf numFmtId="0" fontId="123" fillId="44" borderId="0" xfId="0" applyFont="1" applyFill="1" applyAlignment="1">
      <alignment vertical="top"/>
    </xf>
    <xf numFmtId="0" fontId="77" fillId="44" borderId="0" xfId="0" applyFont="1" applyFill="1" applyAlignment="1">
      <alignment vertical="top"/>
    </xf>
    <xf numFmtId="0" fontId="80" fillId="25" borderId="55" xfId="0" applyFont="1" applyFill="1" applyBorder="1" applyAlignment="1">
      <alignment vertical="top" wrapText="1"/>
    </xf>
    <xf numFmtId="0" fontId="80" fillId="25" borderId="56" xfId="0" applyFont="1" applyFill="1" applyBorder="1" applyAlignment="1">
      <alignment vertical="top" wrapText="1"/>
    </xf>
    <xf numFmtId="0" fontId="70" fillId="25" borderId="56" xfId="0" applyFont="1" applyFill="1" applyBorder="1" applyAlignment="1">
      <alignment vertical="top" wrapText="1"/>
    </xf>
    <xf numFmtId="0" fontId="70" fillId="25" borderId="57" xfId="0" applyFont="1" applyFill="1" applyBorder="1" applyAlignment="1">
      <alignment vertical="top" wrapText="1"/>
    </xf>
    <xf numFmtId="0" fontId="43" fillId="18" borderId="58" xfId="0" applyFont="1" applyFill="1" applyBorder="1" applyAlignment="1" applyProtection="1">
      <alignment horizontal="center" vertical="top"/>
      <protection locked="0"/>
    </xf>
    <xf numFmtId="0" fontId="43" fillId="18" borderId="59" xfId="0" applyFont="1" applyFill="1" applyBorder="1" applyAlignment="1" applyProtection="1">
      <alignment horizontal="left" vertical="top" wrapText="1"/>
      <protection locked="0"/>
    </xf>
    <xf numFmtId="1" fontId="71" fillId="18" borderId="59" xfId="0" applyNumberFormat="1" applyFont="1" applyFill="1" applyBorder="1" applyAlignment="1" applyProtection="1">
      <alignment horizontal="center" vertical="top" wrapText="1"/>
      <protection locked="0"/>
    </xf>
    <xf numFmtId="1" fontId="124" fillId="18" borderId="59" xfId="0" applyNumberFormat="1" applyFont="1" applyFill="1" applyBorder="1" applyAlignment="1" applyProtection="1">
      <alignment horizontal="center" vertical="top" wrapText="1"/>
      <protection locked="0"/>
    </xf>
    <xf numFmtId="0" fontId="59" fillId="18" borderId="60" xfId="0" applyFont="1" applyFill="1" applyBorder="1" applyAlignment="1" applyProtection="1">
      <alignment horizontal="center" vertical="top" wrapText="1"/>
      <protection locked="0"/>
    </xf>
    <xf numFmtId="0" fontId="43" fillId="19" borderId="58" xfId="0" applyFont="1" applyFill="1" applyBorder="1" applyAlignment="1" applyProtection="1">
      <alignment horizontal="center" vertical="top"/>
      <protection locked="0"/>
    </xf>
    <xf numFmtId="0" fontId="43" fillId="19" borderId="59" xfId="0" applyFont="1" applyFill="1" applyBorder="1" applyAlignment="1" applyProtection="1">
      <alignment horizontal="left" vertical="top" wrapText="1"/>
      <protection locked="0"/>
    </xf>
    <xf numFmtId="1" fontId="71" fillId="19" borderId="59" xfId="0" applyNumberFormat="1" applyFont="1" applyFill="1" applyBorder="1" applyAlignment="1" applyProtection="1">
      <alignment horizontal="center" vertical="top" wrapText="1"/>
      <protection locked="0"/>
    </xf>
    <xf numFmtId="1" fontId="124" fillId="19" borderId="59" xfId="0" applyNumberFormat="1" applyFont="1" applyFill="1" applyBorder="1" applyAlignment="1" applyProtection="1">
      <alignment horizontal="center" vertical="top" wrapText="1"/>
      <protection locked="0"/>
    </xf>
    <xf numFmtId="0" fontId="59" fillId="19" borderId="60" xfId="0" applyFont="1" applyFill="1" applyBorder="1" applyAlignment="1" applyProtection="1">
      <alignment horizontal="center" vertical="top" wrapText="1"/>
      <protection locked="0"/>
    </xf>
    <xf numFmtId="0" fontId="43" fillId="19" borderId="62" xfId="0" applyFont="1" applyFill="1" applyBorder="1" applyAlignment="1" applyProtection="1">
      <alignment horizontal="center" vertical="top"/>
      <protection locked="0"/>
    </xf>
    <xf numFmtId="0" fontId="43" fillId="19" borderId="63" xfId="0" applyFont="1" applyFill="1" applyBorder="1" applyAlignment="1" applyProtection="1">
      <alignment horizontal="left" vertical="top" wrapText="1"/>
      <protection locked="0"/>
    </xf>
    <xf numFmtId="1" fontId="71" fillId="19" borderId="63" xfId="0" applyNumberFormat="1" applyFont="1" applyFill="1" applyBorder="1" applyAlignment="1" applyProtection="1">
      <alignment horizontal="center" vertical="top" wrapText="1"/>
      <protection locked="0"/>
    </xf>
    <xf numFmtId="1" fontId="124" fillId="19" borderId="63" xfId="0" applyNumberFormat="1" applyFont="1" applyFill="1" applyBorder="1" applyAlignment="1" applyProtection="1">
      <alignment horizontal="center" vertical="top" wrapText="1"/>
      <protection locked="0"/>
    </xf>
    <xf numFmtId="0" fontId="59" fillId="19" borderId="64" xfId="0" applyFont="1" applyFill="1" applyBorder="1" applyAlignment="1" applyProtection="1">
      <alignment horizontal="center" vertical="top" wrapText="1"/>
      <protection locked="0"/>
    </xf>
    <xf numFmtId="0" fontId="123" fillId="45" borderId="0" xfId="0" applyFont="1" applyFill="1" applyAlignment="1" applyProtection="1">
      <alignment vertical="top"/>
      <protection locked="0"/>
    </xf>
    <xf numFmtId="0" fontId="123" fillId="45" borderId="0" xfId="0" applyFont="1" applyFill="1" applyAlignment="1">
      <alignment vertical="top"/>
    </xf>
    <xf numFmtId="0" fontId="77" fillId="45" borderId="0" xfId="0" applyFont="1" applyFill="1" applyAlignment="1">
      <alignment vertical="top"/>
    </xf>
    <xf numFmtId="0" fontId="80" fillId="46" borderId="0" xfId="0" applyFont="1" applyFill="1" applyAlignment="1">
      <alignment vertical="top" wrapText="1"/>
    </xf>
    <xf numFmtId="0" fontId="70" fillId="46" borderId="0" xfId="0" applyFont="1" applyFill="1" applyAlignment="1">
      <alignment vertical="top" wrapText="1"/>
    </xf>
    <xf numFmtId="0" fontId="43" fillId="20" borderId="55" xfId="0" applyFont="1" applyFill="1" applyBorder="1" applyAlignment="1" applyProtection="1">
      <alignment horizontal="center" vertical="top"/>
      <protection locked="0"/>
    </xf>
    <xf numFmtId="0" fontId="43" fillId="20" borderId="56" xfId="0" applyFont="1" applyFill="1" applyBorder="1" applyAlignment="1" applyProtection="1">
      <alignment horizontal="left" vertical="top" wrapText="1"/>
      <protection locked="0"/>
    </xf>
    <xf numFmtId="1" fontId="71" fillId="20" borderId="56" xfId="0" applyNumberFormat="1" applyFont="1" applyFill="1" applyBorder="1" applyAlignment="1" applyProtection="1">
      <alignment horizontal="center" vertical="top" wrapText="1"/>
      <protection locked="0"/>
    </xf>
    <xf numFmtId="1" fontId="124" fillId="20" borderId="56" xfId="0" applyNumberFormat="1" applyFont="1" applyFill="1" applyBorder="1" applyAlignment="1" applyProtection="1">
      <alignment horizontal="center" vertical="top" wrapText="1"/>
      <protection locked="0"/>
    </xf>
    <xf numFmtId="0" fontId="59" fillId="20" borderId="57" xfId="0" applyFont="1" applyFill="1" applyBorder="1" applyAlignment="1" applyProtection="1">
      <alignment horizontal="center" vertical="top" wrapText="1"/>
      <protection locked="0"/>
    </xf>
    <xf numFmtId="0" fontId="43" fillId="21" borderId="58" xfId="0" applyFont="1" applyFill="1" applyBorder="1" applyAlignment="1" applyProtection="1">
      <alignment horizontal="center" vertical="top"/>
      <protection locked="0"/>
    </xf>
    <xf numFmtId="0" fontId="43" fillId="21" borderId="59" xfId="0" applyFont="1" applyFill="1" applyBorder="1" applyAlignment="1" applyProtection="1">
      <alignment horizontal="left" vertical="top" wrapText="1"/>
      <protection locked="0"/>
    </xf>
    <xf numFmtId="1" fontId="71" fillId="21" borderId="59" xfId="0" applyNumberFormat="1" applyFont="1" applyFill="1" applyBorder="1" applyAlignment="1" applyProtection="1">
      <alignment horizontal="center" vertical="top" wrapText="1"/>
      <protection locked="0"/>
    </xf>
    <xf numFmtId="1" fontId="124" fillId="21" borderId="59" xfId="0" applyNumberFormat="1" applyFont="1" applyFill="1" applyBorder="1" applyAlignment="1" applyProtection="1">
      <alignment horizontal="center" vertical="top" wrapText="1"/>
      <protection locked="0"/>
    </xf>
    <xf numFmtId="0" fontId="59" fillId="21" borderId="60" xfId="0" applyFont="1" applyFill="1" applyBorder="1" applyAlignment="1" applyProtection="1">
      <alignment horizontal="center" vertical="top" wrapText="1"/>
      <protection locked="0"/>
    </xf>
    <xf numFmtId="0" fontId="43" fillId="20" borderId="58" xfId="0" applyFont="1" applyFill="1" applyBorder="1" applyAlignment="1" applyProtection="1">
      <alignment horizontal="center" vertical="top"/>
      <protection locked="0"/>
    </xf>
    <xf numFmtId="0" fontId="43" fillId="20" borderId="59" xfId="0" applyFont="1" applyFill="1" applyBorder="1" applyAlignment="1" applyProtection="1">
      <alignment horizontal="left" vertical="top" wrapText="1"/>
      <protection locked="0"/>
    </xf>
    <xf numFmtId="1" fontId="71" fillId="20" borderId="59" xfId="0" applyNumberFormat="1" applyFont="1" applyFill="1" applyBorder="1" applyAlignment="1" applyProtection="1">
      <alignment horizontal="center" vertical="top" wrapText="1"/>
      <protection locked="0"/>
    </xf>
    <xf numFmtId="1" fontId="124" fillId="20" borderId="59" xfId="0" applyNumberFormat="1" applyFont="1" applyFill="1" applyBorder="1" applyAlignment="1" applyProtection="1">
      <alignment horizontal="center" vertical="top" wrapText="1"/>
      <protection locked="0"/>
    </xf>
    <xf numFmtId="0" fontId="59" fillId="20" borderId="60" xfId="0" applyFont="1" applyFill="1" applyBorder="1" applyAlignment="1" applyProtection="1">
      <alignment horizontal="center" vertical="top" wrapText="1"/>
      <protection locked="0"/>
    </xf>
    <xf numFmtId="0" fontId="43" fillId="21" borderId="62" xfId="0" applyFont="1" applyFill="1" applyBorder="1" applyAlignment="1" applyProtection="1">
      <alignment horizontal="center" vertical="top"/>
      <protection locked="0"/>
    </xf>
    <xf numFmtId="0" fontId="43" fillId="21" borderId="63" xfId="0" applyFont="1" applyFill="1" applyBorder="1" applyAlignment="1" applyProtection="1">
      <alignment horizontal="left" vertical="top" wrapText="1"/>
      <protection locked="0"/>
    </xf>
    <xf numFmtId="1" fontId="71" fillId="21" borderId="63" xfId="0" applyNumberFormat="1" applyFont="1" applyFill="1" applyBorder="1" applyAlignment="1" applyProtection="1">
      <alignment horizontal="center" vertical="top" wrapText="1"/>
      <protection locked="0"/>
    </xf>
    <xf numFmtId="1" fontId="124" fillId="21" borderId="63" xfId="0" applyNumberFormat="1" applyFont="1" applyFill="1" applyBorder="1" applyAlignment="1" applyProtection="1">
      <alignment horizontal="center" vertical="top" wrapText="1"/>
      <protection locked="0"/>
    </xf>
    <xf numFmtId="0" fontId="59" fillId="21" borderId="64" xfId="0" applyFont="1" applyFill="1" applyBorder="1" applyAlignment="1" applyProtection="1">
      <alignment horizontal="center" vertical="top" wrapText="1"/>
      <protection locked="0"/>
    </xf>
    <xf numFmtId="0" fontId="126" fillId="0" borderId="3" xfId="0" applyFont="1" applyBorder="1" applyAlignment="1" applyProtection="1">
      <alignment vertical="center"/>
      <protection hidden="1"/>
    </xf>
    <xf numFmtId="0" fontId="126" fillId="0" borderId="0" xfId="0" applyFont="1" applyAlignment="1" applyProtection="1">
      <alignment vertical="center"/>
      <protection hidden="1"/>
    </xf>
    <xf numFmtId="0" fontId="127" fillId="0" borderId="0" xfId="0" applyFont="1" applyAlignment="1">
      <alignment textRotation="90"/>
    </xf>
    <xf numFmtId="0" fontId="91" fillId="0" borderId="0" xfId="0" applyFont="1" applyAlignment="1">
      <alignment textRotation="90"/>
    </xf>
    <xf numFmtId="0" fontId="128" fillId="0" borderId="0" xfId="0" applyFont="1" applyAlignment="1">
      <alignment textRotation="90"/>
    </xf>
    <xf numFmtId="0" fontId="129" fillId="0" borderId="0" xfId="0" applyFont="1" applyAlignment="1">
      <alignment horizontal="center" vertical="top"/>
    </xf>
    <xf numFmtId="0" fontId="91" fillId="0" borderId="0" xfId="0" applyFont="1"/>
    <xf numFmtId="0" fontId="130" fillId="0" borderId="0" xfId="0" applyFont="1" applyAlignment="1">
      <alignment horizontal="center" vertical="top"/>
    </xf>
    <xf numFmtId="0" fontId="95" fillId="9" borderId="0" xfId="0" applyFont="1" applyFill="1"/>
    <xf numFmtId="0" fontId="44" fillId="0" borderId="55" xfId="2" applyFont="1" applyFill="1" applyBorder="1" applyAlignment="1">
      <alignment horizontal="left" vertical="top" wrapText="1"/>
    </xf>
    <xf numFmtId="0" fontId="43" fillId="0" borderId="56" xfId="2" applyFont="1" applyFill="1" applyBorder="1" applyAlignment="1" applyProtection="1">
      <alignment horizontal="left" vertical="top" wrapText="1"/>
      <protection locked="0"/>
    </xf>
    <xf numFmtId="1" fontId="131" fillId="0" borderId="57" xfId="2" applyNumberFormat="1" applyFont="1" applyFill="1" applyBorder="1" applyAlignment="1" applyProtection="1">
      <alignment horizontal="center" vertical="center" wrapText="1"/>
      <protection locked="0"/>
    </xf>
    <xf numFmtId="0" fontId="44" fillId="0" borderId="0" xfId="1" applyFont="1" applyFill="1" applyAlignment="1">
      <alignment horizontal="center" vertical="center" wrapText="1"/>
    </xf>
    <xf numFmtId="0" fontId="45" fillId="0" borderId="56" xfId="2" applyFont="1" applyFill="1" applyBorder="1" applyAlignment="1" applyProtection="1">
      <alignment horizontal="left" vertical="top" wrapText="1"/>
      <protection locked="0"/>
    </xf>
    <xf numFmtId="1" fontId="132" fillId="0" borderId="57" xfId="2" applyNumberFormat="1" applyFont="1" applyFill="1" applyBorder="1" applyAlignment="1" applyProtection="1">
      <alignment horizontal="center" vertical="center" wrapText="1"/>
      <protection locked="0"/>
    </xf>
    <xf numFmtId="1" fontId="43" fillId="0" borderId="0" xfId="0" applyNumberFormat="1" applyFont="1"/>
    <xf numFmtId="0" fontId="44" fillId="0" borderId="58" xfId="2" applyFont="1" applyFill="1" applyBorder="1" applyAlignment="1">
      <alignment horizontal="left" vertical="top" wrapText="1"/>
    </xf>
    <xf numFmtId="0" fontId="43" fillId="0" borderId="59" xfId="2" applyFont="1" applyFill="1" applyBorder="1" applyAlignment="1" applyProtection="1">
      <alignment horizontal="left" vertical="top" wrapText="1"/>
      <protection locked="0"/>
    </xf>
    <xf numFmtId="1" fontId="131" fillId="0" borderId="60" xfId="2" applyNumberFormat="1" applyFont="1" applyFill="1" applyBorder="1" applyAlignment="1" applyProtection="1">
      <alignment horizontal="center" vertical="center" wrapText="1"/>
      <protection locked="0"/>
    </xf>
    <xf numFmtId="0" fontId="45" fillId="0" borderId="59" xfId="2" applyFont="1" applyFill="1" applyBorder="1" applyAlignment="1" applyProtection="1">
      <alignment horizontal="left" vertical="top" wrapText="1"/>
      <protection locked="0"/>
    </xf>
    <xf numFmtId="1" fontId="132" fillId="0" borderId="60" xfId="2" applyNumberFormat="1" applyFont="1" applyFill="1" applyBorder="1" applyAlignment="1" applyProtection="1">
      <alignment horizontal="center" vertical="center" wrapText="1"/>
      <protection locked="0"/>
    </xf>
    <xf numFmtId="0" fontId="44" fillId="0" borderId="62" xfId="2" applyFont="1" applyFill="1" applyBorder="1" applyAlignment="1">
      <alignment horizontal="left" vertical="top" wrapText="1"/>
    </xf>
    <xf numFmtId="0" fontId="43" fillId="0" borderId="63" xfId="2" applyFont="1" applyFill="1" applyBorder="1" applyAlignment="1" applyProtection="1">
      <alignment horizontal="left" vertical="top" wrapText="1"/>
      <protection locked="0"/>
    </xf>
    <xf numFmtId="1" fontId="131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45" fillId="0" borderId="63" xfId="2" applyFont="1" applyFill="1" applyBorder="1" applyAlignment="1" applyProtection="1">
      <alignment horizontal="left" vertical="top" wrapText="1"/>
      <protection locked="0"/>
    </xf>
    <xf numFmtId="1" fontId="132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133" fillId="0" borderId="0" xfId="0" applyFont="1" applyAlignment="1">
      <alignment horizontal="center" textRotation="90"/>
    </xf>
    <xf numFmtId="0" fontId="134" fillId="0" borderId="0" xfId="0" applyFont="1" applyAlignment="1">
      <alignment horizontal="center"/>
    </xf>
    <xf numFmtId="0" fontId="91" fillId="0" borderId="0" xfId="0" applyFont="1" applyAlignment="1">
      <alignment horizontal="center" textRotation="90"/>
    </xf>
    <xf numFmtId="0" fontId="135" fillId="0" borderId="0" xfId="0" applyFont="1" applyAlignment="1">
      <alignment horizontal="center" textRotation="90"/>
    </xf>
    <xf numFmtId="0" fontId="136" fillId="0" borderId="0" xfId="0" applyFont="1" applyAlignment="1">
      <alignment horizontal="center"/>
    </xf>
    <xf numFmtId="1" fontId="137" fillId="0" borderId="57" xfId="2" applyNumberFormat="1" applyFont="1" applyFill="1" applyBorder="1" applyAlignment="1" applyProtection="1">
      <alignment horizontal="center" vertical="center" wrapText="1"/>
      <protection locked="0"/>
    </xf>
    <xf numFmtId="1" fontId="137" fillId="0" borderId="60" xfId="2" applyNumberFormat="1" applyFont="1" applyFill="1" applyBorder="1" applyAlignment="1" applyProtection="1">
      <alignment horizontal="center" vertical="center" wrapText="1"/>
      <protection locked="0"/>
    </xf>
    <xf numFmtId="1" fontId="137" fillId="0" borderId="64" xfId="2" applyNumberFormat="1" applyFont="1" applyFill="1" applyBorder="1" applyAlignment="1" applyProtection="1">
      <alignment horizontal="center" vertical="center" wrapText="1"/>
      <protection locked="0"/>
    </xf>
    <xf numFmtId="0" fontId="39" fillId="0" borderId="3" xfId="21" applyFont="1" applyBorder="1" applyAlignment="1">
      <alignment vertical="center"/>
    </xf>
    <xf numFmtId="49" fontId="44" fillId="0" borderId="58" xfId="21" applyNumberFormat="1" applyFont="1" applyBorder="1" applyAlignment="1" applyProtection="1">
      <alignment horizontal="left" vertical="center" wrapText="1"/>
      <protection locked="0"/>
    </xf>
    <xf numFmtId="49" fontId="44" fillId="0" borderId="59" xfId="21" applyNumberFormat="1" applyFont="1" applyBorder="1" applyAlignment="1" applyProtection="1">
      <alignment horizontal="left" vertical="center" wrapText="1"/>
      <protection locked="0"/>
    </xf>
    <xf numFmtId="1" fontId="71" fillId="0" borderId="59" xfId="21" applyNumberFormat="1" applyFont="1" applyBorder="1" applyAlignment="1" applyProtection="1">
      <alignment horizontal="center" vertical="center" wrapText="1"/>
      <protection locked="0"/>
    </xf>
    <xf numFmtId="0" fontId="59" fillId="0" borderId="60" xfId="21" applyFont="1" applyBorder="1" applyAlignment="1" applyProtection="1">
      <alignment horizontal="center" vertical="center" wrapText="1"/>
      <protection locked="0"/>
    </xf>
    <xf numFmtId="49" fontId="44" fillId="0" borderId="59" xfId="21" quotePrefix="1" applyNumberFormat="1" applyFont="1" applyBorder="1" applyAlignment="1" applyProtection="1">
      <alignment horizontal="left" vertical="center" wrapText="1"/>
      <protection locked="0"/>
    </xf>
    <xf numFmtId="49" fontId="44" fillId="0" borderId="62" xfId="21" applyNumberFormat="1" applyFont="1" applyBorder="1" applyAlignment="1" applyProtection="1">
      <alignment horizontal="left" vertical="center" wrapText="1"/>
      <protection locked="0"/>
    </xf>
    <xf numFmtId="49" fontId="44" fillId="0" borderId="63" xfId="21" applyNumberFormat="1" applyFont="1" applyBorder="1" applyAlignment="1" applyProtection="1">
      <alignment horizontal="left" vertical="center" wrapText="1"/>
      <protection locked="0"/>
    </xf>
    <xf numFmtId="1" fontId="71" fillId="0" borderId="63" xfId="21" applyNumberFormat="1" applyFont="1" applyBorder="1" applyAlignment="1" applyProtection="1">
      <alignment horizontal="center" vertical="center" wrapText="1"/>
      <protection locked="0"/>
    </xf>
    <xf numFmtId="0" fontId="59" fillId="0" borderId="64" xfId="21" applyFont="1" applyBorder="1" applyAlignment="1" applyProtection="1">
      <alignment horizontal="center" vertical="center" wrapText="1"/>
      <protection locked="0"/>
    </xf>
    <xf numFmtId="0" fontId="138" fillId="9" borderId="0" xfId="21" applyFont="1" applyFill="1" applyAlignment="1">
      <alignment horizontal="left" indent="15"/>
    </xf>
    <xf numFmtId="14" fontId="75" fillId="12" borderId="0" xfId="3" applyNumberFormat="1" applyFont="1" applyFill="1" applyAlignment="1" applyProtection="1">
      <alignment horizontal="left" vertical="top"/>
      <protection locked="0"/>
    </xf>
    <xf numFmtId="14" fontId="75" fillId="12" borderId="0" xfId="3" applyNumberFormat="1" applyFont="1" applyFill="1" applyAlignment="1" applyProtection="1">
      <alignment horizontal="left"/>
      <protection locked="0"/>
    </xf>
    <xf numFmtId="0" fontId="45" fillId="0" borderId="59" xfId="3" applyFont="1" applyBorder="1" applyAlignment="1" applyProtection="1">
      <alignment horizontal="left" vertical="top" wrapText="1"/>
      <protection locked="0"/>
    </xf>
    <xf numFmtId="0" fontId="45" fillId="0" borderId="63" xfId="3" applyFont="1" applyBorder="1" applyAlignment="1" applyProtection="1">
      <alignment horizontal="left" vertical="top" wrapText="1"/>
      <protection locked="0"/>
    </xf>
    <xf numFmtId="49" fontId="45" fillId="0" borderId="64" xfId="3" applyNumberFormat="1" applyFont="1" applyBorder="1" applyAlignment="1" applyProtection="1">
      <alignment horizontal="left" vertical="top" wrapText="1"/>
      <protection locked="0"/>
    </xf>
    <xf numFmtId="0" fontId="43" fillId="9" borderId="0" xfId="0" applyFont="1" applyFill="1" applyProtection="1">
      <protection hidden="1"/>
    </xf>
    <xf numFmtId="0" fontId="139" fillId="9" borderId="0" xfId="0" applyFont="1" applyFill="1" applyProtection="1">
      <protection hidden="1"/>
    </xf>
    <xf numFmtId="0" fontId="140" fillId="9" borderId="0" xfId="0" applyFont="1" applyFill="1" applyAlignment="1" applyProtection="1">
      <alignment horizontal="right" textRotation="90"/>
      <protection hidden="1"/>
    </xf>
    <xf numFmtId="0" fontId="126" fillId="9" borderId="0" xfId="0" applyFont="1" applyFill="1" applyAlignment="1" applyProtection="1">
      <alignment horizontal="right" textRotation="90"/>
      <protection hidden="1"/>
    </xf>
    <xf numFmtId="0" fontId="43" fillId="9" borderId="0" xfId="0" applyFont="1" applyFill="1" applyAlignment="1" applyProtection="1">
      <alignment horizontal="right"/>
      <protection hidden="1"/>
    </xf>
    <xf numFmtId="0" fontId="141" fillId="9" borderId="0" xfId="0" applyFont="1" applyFill="1" applyAlignment="1" applyProtection="1">
      <alignment horizontal="right" vertical="center"/>
      <protection hidden="1"/>
    </xf>
    <xf numFmtId="0" fontId="142" fillId="9" borderId="0" xfId="0" applyFont="1" applyFill="1" applyAlignment="1" applyProtection="1">
      <alignment horizontal="right" vertical="center"/>
      <protection hidden="1"/>
    </xf>
    <xf numFmtId="0" fontId="139" fillId="9" borderId="0" xfId="0" applyFont="1" applyFill="1" applyAlignment="1" applyProtection="1">
      <alignment horizontal="left"/>
      <protection hidden="1"/>
    </xf>
    <xf numFmtId="0" fontId="59" fillId="0" borderId="55" xfId="0" applyFont="1" applyBorder="1" applyAlignment="1" applyProtection="1">
      <alignment horizontal="right" vertical="center"/>
      <protection hidden="1"/>
    </xf>
    <xf numFmtId="0" fontId="43" fillId="0" borderId="56" xfId="0" applyFont="1" applyBorder="1" applyAlignment="1" applyProtection="1">
      <alignment vertical="center"/>
      <protection hidden="1"/>
    </xf>
    <xf numFmtId="0" fontId="43" fillId="0" borderId="56" xfId="0" applyFont="1" applyBorder="1" applyAlignment="1" applyProtection="1">
      <alignment horizontal="left" vertical="center"/>
      <protection locked="0"/>
    </xf>
    <xf numFmtId="0" fontId="143" fillId="0" borderId="56" xfId="0" applyFont="1" applyBorder="1" applyAlignment="1" applyProtection="1">
      <alignment vertical="center"/>
      <protection locked="0"/>
    </xf>
    <xf numFmtId="0" fontId="84" fillId="0" borderId="57" xfId="0" applyFont="1" applyBorder="1" applyAlignment="1" applyProtection="1">
      <alignment vertical="center"/>
      <protection locked="0"/>
    </xf>
    <xf numFmtId="0" fontId="63" fillId="0" borderId="66" xfId="0" applyFont="1" applyBorder="1" applyAlignment="1" applyProtection="1">
      <alignment horizontal="left"/>
      <protection hidden="1"/>
    </xf>
    <xf numFmtId="0" fontId="43" fillId="0" borderId="66" xfId="0" applyFont="1" applyBorder="1" applyProtection="1">
      <protection hidden="1"/>
    </xf>
    <xf numFmtId="0" fontId="88" fillId="0" borderId="66" xfId="0" applyFont="1" applyBorder="1" applyAlignment="1" applyProtection="1">
      <alignment horizontal="left" vertical="center"/>
      <protection locked="0"/>
    </xf>
    <xf numFmtId="0" fontId="75" fillId="9" borderId="0" xfId="0" applyFont="1" applyFill="1" applyProtection="1">
      <protection hidden="1"/>
    </xf>
    <xf numFmtId="0" fontId="59" fillId="0" borderId="58" xfId="0" applyFont="1" applyBorder="1" applyAlignment="1" applyProtection="1">
      <alignment horizontal="right" vertical="center"/>
      <protection hidden="1"/>
    </xf>
    <xf numFmtId="0" fontId="43" fillId="0" borderId="59" xfId="0" applyFont="1" applyBorder="1" applyAlignment="1" applyProtection="1">
      <alignment vertical="center"/>
      <protection hidden="1"/>
    </xf>
    <xf numFmtId="0" fontId="43" fillId="0" borderId="59" xfId="0" applyFont="1" applyBorder="1" applyAlignment="1" applyProtection="1">
      <alignment horizontal="left" vertical="center"/>
      <protection locked="0"/>
    </xf>
    <xf numFmtId="0" fontId="143" fillId="0" borderId="59" xfId="0" applyFont="1" applyBorder="1" applyAlignment="1" applyProtection="1">
      <alignment vertical="center"/>
      <protection locked="0"/>
    </xf>
    <xf numFmtId="0" fontId="84" fillId="0" borderId="60" xfId="0" applyFont="1" applyBorder="1" applyAlignment="1" applyProtection="1">
      <alignment vertical="center"/>
      <protection locked="0"/>
    </xf>
    <xf numFmtId="0" fontId="63" fillId="0" borderId="67" xfId="0" applyFont="1" applyBorder="1" applyAlignment="1" applyProtection="1">
      <alignment horizontal="left"/>
      <protection hidden="1"/>
    </xf>
    <xf numFmtId="0" fontId="43" fillId="0" borderId="67" xfId="0" applyFont="1" applyBorder="1" applyProtection="1">
      <protection hidden="1"/>
    </xf>
    <xf numFmtId="0" fontId="88" fillId="0" borderId="67" xfId="0" applyFont="1" applyBorder="1" applyAlignment="1" applyProtection="1">
      <alignment horizontal="left" vertical="center"/>
      <protection locked="0"/>
    </xf>
    <xf numFmtId="0" fontId="88" fillId="0" borderId="59" xfId="0" applyFont="1" applyBorder="1" applyAlignment="1" applyProtection="1">
      <alignment horizontal="left" vertical="center"/>
      <protection locked="0"/>
    </xf>
    <xf numFmtId="0" fontId="80" fillId="0" borderId="0" xfId="0" applyFont="1" applyAlignment="1" applyProtection="1">
      <alignment vertical="top" wrapText="1"/>
      <protection hidden="1"/>
    </xf>
    <xf numFmtId="49" fontId="44" fillId="0" borderId="0" xfId="0" applyNumberFormat="1" applyFont="1" applyAlignment="1" applyProtection="1">
      <alignment horizontal="left" vertical="top" wrapText="1"/>
      <protection hidden="1"/>
    </xf>
    <xf numFmtId="0" fontId="59" fillId="0" borderId="0" xfId="0" applyFont="1" applyAlignment="1" applyProtection="1">
      <alignment horizontal="center" vertical="center" wrapText="1"/>
      <protection hidden="1"/>
    </xf>
    <xf numFmtId="0" fontId="59" fillId="0" borderId="62" xfId="0" applyFont="1" applyBorder="1" applyAlignment="1" applyProtection="1">
      <alignment horizontal="right" vertical="center"/>
      <protection hidden="1"/>
    </xf>
    <xf numFmtId="0" fontId="43" fillId="0" borderId="63" xfId="0" applyFont="1" applyBorder="1" applyAlignment="1" applyProtection="1">
      <alignment vertical="center"/>
      <protection hidden="1"/>
    </xf>
    <xf numFmtId="0" fontId="43" fillId="0" borderId="63" xfId="0" applyFont="1" applyBorder="1" applyAlignment="1" applyProtection="1">
      <alignment horizontal="left" vertical="center"/>
      <protection locked="0"/>
    </xf>
    <xf numFmtId="0" fontId="143" fillId="0" borderId="63" xfId="0" applyFont="1" applyBorder="1" applyAlignment="1" applyProtection="1">
      <alignment vertical="center"/>
      <protection locked="0"/>
    </xf>
    <xf numFmtId="0" fontId="84" fillId="0" borderId="64" xfId="0" applyFont="1" applyBorder="1" applyAlignment="1" applyProtection="1">
      <alignment vertical="center"/>
      <protection locked="0"/>
    </xf>
    <xf numFmtId="0" fontId="63" fillId="0" borderId="68" xfId="0" applyFont="1" applyBorder="1" applyAlignment="1" applyProtection="1">
      <alignment horizontal="left"/>
      <protection hidden="1"/>
    </xf>
    <xf numFmtId="0" fontId="43" fillId="0" borderId="68" xfId="0" applyFont="1" applyBorder="1" applyProtection="1">
      <protection hidden="1"/>
    </xf>
    <xf numFmtId="0" fontId="88" fillId="0" borderId="68" xfId="0" applyFont="1" applyBorder="1" applyAlignment="1" applyProtection="1">
      <alignment horizontal="left" vertical="center"/>
      <protection locked="0"/>
    </xf>
    <xf numFmtId="0" fontId="43" fillId="0" borderId="0" xfId="0" applyFont="1" applyAlignment="1" applyProtection="1">
      <alignment horizontal="center" vertical="center"/>
      <protection hidden="1"/>
    </xf>
    <xf numFmtId="1" fontId="115" fillId="0" borderId="0" xfId="0" applyNumberFormat="1" applyFont="1" applyAlignment="1" applyProtection="1">
      <alignment horizontal="center" vertical="center" wrapText="1"/>
      <protection hidden="1"/>
    </xf>
    <xf numFmtId="1" fontId="44" fillId="0" borderId="0" xfId="0" applyNumberFormat="1" applyFont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center" vertical="top"/>
      <protection hidden="1"/>
    </xf>
    <xf numFmtId="0" fontId="75" fillId="0" borderId="0" xfId="0" applyFont="1" applyAlignment="1" applyProtection="1">
      <alignment horizontal="center" vertical="center"/>
      <protection hidden="1"/>
    </xf>
    <xf numFmtId="0" fontId="56" fillId="0" borderId="0" xfId="0" applyFont="1" applyProtection="1">
      <protection hidden="1"/>
    </xf>
    <xf numFmtId="0" fontId="88" fillId="0" borderId="0" xfId="0" applyFont="1" applyProtection="1">
      <protection hidden="1"/>
    </xf>
    <xf numFmtId="0" fontId="144" fillId="10" borderId="56" xfId="3" applyFont="1" applyFill="1" applyBorder="1" applyAlignment="1">
      <alignment vertical="top" wrapText="1"/>
    </xf>
    <xf numFmtId="0" fontId="45" fillId="20" borderId="58" xfId="3" applyFont="1" applyFill="1" applyBorder="1" applyAlignment="1" applyProtection="1">
      <alignment horizontal="center" vertical="top"/>
      <protection hidden="1"/>
    </xf>
    <xf numFmtId="0" fontId="45" fillId="20" borderId="59" xfId="3" applyFont="1" applyFill="1" applyBorder="1" applyAlignment="1" applyProtection="1">
      <alignment horizontal="left" vertical="top" wrapText="1"/>
      <protection locked="0"/>
    </xf>
    <xf numFmtId="0" fontId="45" fillId="21" borderId="59" xfId="3" applyFont="1" applyFill="1" applyBorder="1" applyAlignment="1" applyProtection="1">
      <alignment horizontal="left" vertical="top" wrapText="1"/>
      <protection locked="0"/>
    </xf>
    <xf numFmtId="1" fontId="124" fillId="21" borderId="59" xfId="3" applyNumberFormat="1" applyFont="1" applyFill="1" applyBorder="1" applyAlignment="1" applyProtection="1">
      <alignment horizontal="center" vertical="center" wrapText="1"/>
      <protection locked="0"/>
    </xf>
    <xf numFmtId="0" fontId="59" fillId="21" borderId="60" xfId="3" applyFont="1" applyFill="1" applyBorder="1" applyAlignment="1" applyProtection="1">
      <alignment horizontal="center" vertical="center" wrapText="1"/>
      <protection locked="0"/>
    </xf>
    <xf numFmtId="1" fontId="145" fillId="0" borderId="61" xfId="3" applyNumberFormat="1" applyFont="1" applyBorder="1" applyAlignment="1" applyProtection="1">
      <alignment horizontal="center" vertical="center" wrapText="1"/>
      <protection locked="0"/>
    </xf>
    <xf numFmtId="0" fontId="45" fillId="21" borderId="58" xfId="3" applyFont="1" applyFill="1" applyBorder="1" applyAlignment="1" applyProtection="1">
      <alignment horizontal="center" vertical="top"/>
      <protection hidden="1"/>
    </xf>
    <xf numFmtId="0" fontId="45" fillId="22" borderId="59" xfId="3" applyFont="1" applyFill="1" applyBorder="1" applyAlignment="1" applyProtection="1">
      <alignment horizontal="left" vertical="top" wrapText="1"/>
      <protection locked="0"/>
    </xf>
    <xf numFmtId="1" fontId="124" fillId="22" borderId="59" xfId="3" applyNumberFormat="1" applyFont="1" applyFill="1" applyBorder="1" applyAlignment="1" applyProtection="1">
      <alignment horizontal="center" vertical="center" wrapText="1"/>
      <protection locked="0"/>
    </xf>
    <xf numFmtId="0" fontId="59" fillId="22" borderId="60" xfId="3" applyFont="1" applyFill="1" applyBorder="1" applyAlignment="1" applyProtection="1">
      <alignment horizontal="center" vertical="center" wrapText="1"/>
      <protection locked="0"/>
    </xf>
    <xf numFmtId="1" fontId="145" fillId="0" borderId="11" xfId="3" applyNumberFormat="1" applyFont="1" applyBorder="1" applyAlignment="1" applyProtection="1">
      <alignment horizontal="center" vertical="center" wrapText="1"/>
      <protection locked="0"/>
    </xf>
    <xf numFmtId="0" fontId="45" fillId="23" borderId="58" xfId="3" applyFont="1" applyFill="1" applyBorder="1" applyAlignment="1" applyProtection="1">
      <alignment horizontal="center" vertical="top"/>
      <protection hidden="1"/>
    </xf>
    <xf numFmtId="0" fontId="45" fillId="23" borderId="59" xfId="3" applyFont="1" applyFill="1" applyBorder="1" applyAlignment="1" applyProtection="1">
      <alignment horizontal="left" vertical="top" wrapText="1"/>
      <protection locked="0"/>
    </xf>
    <xf numFmtId="0" fontId="45" fillId="24" borderId="59" xfId="3" applyFont="1" applyFill="1" applyBorder="1" applyAlignment="1" applyProtection="1">
      <alignment horizontal="left" vertical="top" wrapText="1"/>
      <protection locked="0"/>
    </xf>
    <xf numFmtId="1" fontId="124" fillId="24" borderId="59" xfId="3" applyNumberFormat="1" applyFont="1" applyFill="1" applyBorder="1" applyAlignment="1" applyProtection="1">
      <alignment horizontal="center" vertical="center" wrapText="1"/>
      <protection locked="0"/>
    </xf>
    <xf numFmtId="0" fontId="59" fillId="24" borderId="60" xfId="3" applyFont="1" applyFill="1" applyBorder="1" applyAlignment="1" applyProtection="1">
      <alignment horizontal="center" vertical="center" wrapText="1"/>
      <protection locked="0"/>
    </xf>
    <xf numFmtId="0" fontId="45" fillId="8" borderId="58" xfId="3" applyFont="1" applyFill="1" applyBorder="1" applyAlignment="1" applyProtection="1">
      <alignment horizontal="center" vertical="top"/>
      <protection hidden="1"/>
    </xf>
    <xf numFmtId="0" fontId="45" fillId="8" borderId="59" xfId="3" applyFont="1" applyFill="1" applyBorder="1" applyAlignment="1" applyProtection="1">
      <alignment horizontal="left" vertical="top" wrapText="1"/>
      <protection locked="0"/>
    </xf>
    <xf numFmtId="0" fontId="45" fillId="14" borderId="59" xfId="3" applyFont="1" applyFill="1" applyBorder="1" applyAlignment="1" applyProtection="1">
      <alignment horizontal="left" vertical="top" wrapText="1"/>
      <protection locked="0"/>
    </xf>
    <xf numFmtId="1" fontId="124" fillId="14" borderId="59" xfId="3" applyNumberFormat="1" applyFont="1" applyFill="1" applyBorder="1" applyAlignment="1" applyProtection="1">
      <alignment horizontal="center" vertical="center" wrapText="1"/>
      <protection locked="0"/>
    </xf>
    <xf numFmtId="0" fontId="59" fillId="14" borderId="60" xfId="3" applyFont="1" applyFill="1" applyBorder="1" applyAlignment="1" applyProtection="1">
      <alignment horizontal="center" vertical="center" wrapText="1"/>
      <protection locked="0"/>
    </xf>
    <xf numFmtId="0" fontId="45" fillId="22" borderId="58" xfId="3" applyFont="1" applyFill="1" applyBorder="1" applyAlignment="1" applyProtection="1">
      <alignment horizontal="center" vertical="top"/>
      <protection hidden="1"/>
    </xf>
    <xf numFmtId="0" fontId="45" fillId="6" borderId="59" xfId="3" applyFont="1" applyFill="1" applyBorder="1" applyAlignment="1" applyProtection="1">
      <alignment horizontal="left" vertical="top" wrapText="1"/>
      <protection locked="0"/>
    </xf>
    <xf numFmtId="1" fontId="124" fillId="6" borderId="59" xfId="3" applyNumberFormat="1" applyFont="1" applyFill="1" applyBorder="1" applyAlignment="1" applyProtection="1">
      <alignment horizontal="center" vertical="center" wrapText="1"/>
      <protection locked="0"/>
    </xf>
    <xf numFmtId="0" fontId="59" fillId="6" borderId="60" xfId="3" applyFont="1" applyFill="1" applyBorder="1" applyAlignment="1" applyProtection="1">
      <alignment horizontal="center" vertical="center" wrapText="1"/>
      <protection locked="0"/>
    </xf>
    <xf numFmtId="0" fontId="45" fillId="32" borderId="58" xfId="3" applyFont="1" applyFill="1" applyBorder="1" applyAlignment="1" applyProtection="1">
      <alignment horizontal="center" vertical="top"/>
      <protection hidden="1"/>
    </xf>
    <xf numFmtId="0" fontId="45" fillId="32" borderId="59" xfId="3" applyFont="1" applyFill="1" applyBorder="1" applyAlignment="1" applyProtection="1">
      <alignment horizontal="left" vertical="top" wrapText="1"/>
      <protection locked="0"/>
    </xf>
    <xf numFmtId="0" fontId="45" fillId="19" borderId="59" xfId="3" applyFont="1" applyFill="1" applyBorder="1" applyAlignment="1" applyProtection="1">
      <alignment horizontal="left" vertical="top" wrapText="1"/>
      <protection locked="0"/>
    </xf>
    <xf numFmtId="1" fontId="124" fillId="19" borderId="59" xfId="3" applyNumberFormat="1" applyFont="1" applyFill="1" applyBorder="1" applyAlignment="1" applyProtection="1">
      <alignment horizontal="center" vertical="center" wrapText="1"/>
      <protection locked="0"/>
    </xf>
    <xf numFmtId="0" fontId="59" fillId="19" borderId="60" xfId="3" applyFont="1" applyFill="1" applyBorder="1" applyAlignment="1" applyProtection="1">
      <alignment horizontal="center" vertical="center" wrapText="1"/>
      <protection locked="0"/>
    </xf>
    <xf numFmtId="0" fontId="45" fillId="13" borderId="58" xfId="3" applyFont="1" applyFill="1" applyBorder="1" applyAlignment="1" applyProtection="1">
      <alignment horizontal="center" vertical="top"/>
      <protection hidden="1"/>
    </xf>
    <xf numFmtId="0" fontId="45" fillId="13" borderId="59" xfId="3" applyFont="1" applyFill="1" applyBorder="1" applyAlignment="1" applyProtection="1">
      <alignment horizontal="left" vertical="top" wrapText="1"/>
      <protection locked="0"/>
    </xf>
    <xf numFmtId="1" fontId="124" fillId="18" borderId="59" xfId="3" applyNumberFormat="1" applyFont="1" applyFill="1" applyBorder="1" applyAlignment="1" applyProtection="1">
      <alignment horizontal="center" vertical="center" wrapText="1"/>
      <protection locked="0"/>
    </xf>
    <xf numFmtId="0" fontId="45" fillId="18" borderId="59" xfId="3" applyFont="1" applyFill="1" applyBorder="1" applyAlignment="1" applyProtection="1">
      <alignment horizontal="left" vertical="top" wrapText="1"/>
      <protection locked="0"/>
    </xf>
    <xf numFmtId="0" fontId="59" fillId="18" borderId="60" xfId="3" applyFont="1" applyFill="1" applyBorder="1" applyAlignment="1" applyProtection="1">
      <alignment horizontal="center" vertical="center" wrapText="1"/>
      <protection locked="0"/>
    </xf>
    <xf numFmtId="0" fontId="75" fillId="14" borderId="58" xfId="3" applyFont="1" applyFill="1" applyBorder="1" applyAlignment="1" applyProtection="1">
      <alignment horizontal="center" vertical="top"/>
      <protection hidden="1"/>
    </xf>
    <xf numFmtId="0" fontId="75" fillId="14" borderId="59" xfId="3" applyFont="1" applyFill="1" applyBorder="1" applyAlignment="1" applyProtection="1">
      <alignment horizontal="left" vertical="top" wrapText="1"/>
      <protection locked="0"/>
    </xf>
    <xf numFmtId="0" fontId="75" fillId="25" borderId="59" xfId="3" applyFont="1" applyFill="1" applyBorder="1" applyAlignment="1" applyProtection="1">
      <alignment horizontal="left" vertical="top" wrapText="1"/>
      <protection locked="0"/>
    </xf>
    <xf numFmtId="1" fontId="124" fillId="25" borderId="59" xfId="3" applyNumberFormat="1" applyFont="1" applyFill="1" applyBorder="1" applyAlignment="1" applyProtection="1">
      <alignment horizontal="center" vertical="center" wrapText="1"/>
      <protection locked="0"/>
    </xf>
    <xf numFmtId="0" fontId="45" fillId="25" borderId="59" xfId="3" applyFont="1" applyFill="1" applyBorder="1" applyAlignment="1" applyProtection="1">
      <alignment horizontal="left" vertical="top" wrapText="1"/>
      <protection locked="0"/>
    </xf>
    <xf numFmtId="0" fontId="59" fillId="25" borderId="60" xfId="3" applyFont="1" applyFill="1" applyBorder="1" applyAlignment="1" applyProtection="1">
      <alignment horizontal="center" vertical="center" wrapText="1"/>
      <protection locked="0"/>
    </xf>
    <xf numFmtId="0" fontId="45" fillId="17" borderId="58" xfId="3" applyFont="1" applyFill="1" applyBorder="1" applyAlignment="1" applyProtection="1">
      <alignment horizontal="center" vertical="top"/>
      <protection hidden="1"/>
    </xf>
    <xf numFmtId="0" fontId="45" fillId="17" borderId="59" xfId="3" applyFont="1" applyFill="1" applyBorder="1" applyAlignment="1" applyProtection="1">
      <alignment horizontal="left" vertical="top" wrapText="1"/>
      <protection locked="0"/>
    </xf>
    <xf numFmtId="0" fontId="45" fillId="5" borderId="59" xfId="3" applyFont="1" applyFill="1" applyBorder="1" applyAlignment="1" applyProtection="1">
      <alignment horizontal="left" vertical="top" wrapText="1"/>
      <protection locked="0"/>
    </xf>
    <xf numFmtId="1" fontId="124" fillId="5" borderId="59" xfId="3" applyNumberFormat="1" applyFont="1" applyFill="1" applyBorder="1" applyAlignment="1" applyProtection="1">
      <alignment horizontal="center" vertical="center" wrapText="1"/>
      <protection locked="0"/>
    </xf>
    <xf numFmtId="0" fontId="59" fillId="5" borderId="60" xfId="3" applyFont="1" applyFill="1" applyBorder="1" applyAlignment="1" applyProtection="1">
      <alignment horizontal="center" vertical="center" wrapText="1"/>
      <protection locked="0"/>
    </xf>
    <xf numFmtId="0" fontId="45" fillId="6" borderId="58" xfId="3" applyFont="1" applyFill="1" applyBorder="1" applyAlignment="1" applyProtection="1">
      <alignment horizontal="center" vertical="top"/>
      <protection hidden="1"/>
    </xf>
    <xf numFmtId="0" fontId="45" fillId="18" borderId="58" xfId="3" applyFont="1" applyFill="1" applyBorder="1" applyAlignment="1" applyProtection="1">
      <alignment horizontal="center" vertical="top"/>
      <protection hidden="1"/>
    </xf>
    <xf numFmtId="0" fontId="45" fillId="19" borderId="58" xfId="3" applyFont="1" applyFill="1" applyBorder="1" applyAlignment="1" applyProtection="1">
      <alignment horizontal="center" vertical="top"/>
      <protection hidden="1"/>
    </xf>
    <xf numFmtId="0" fontId="45" fillId="33" borderId="58" xfId="3" applyFont="1" applyFill="1" applyBorder="1" applyAlignment="1" applyProtection="1">
      <alignment horizontal="center" vertical="top"/>
      <protection hidden="1"/>
    </xf>
    <xf numFmtId="0" fontId="45" fillId="33" borderId="59" xfId="3" applyFont="1" applyFill="1" applyBorder="1" applyAlignment="1" applyProtection="1">
      <alignment horizontal="left" vertical="top" wrapText="1"/>
      <protection locked="0"/>
    </xf>
    <xf numFmtId="0" fontId="45" fillId="34" borderId="58" xfId="3" applyFont="1" applyFill="1" applyBorder="1" applyAlignment="1" applyProtection="1">
      <alignment horizontal="center" vertical="top"/>
      <protection hidden="1"/>
    </xf>
    <xf numFmtId="0" fontId="45" fillId="34" borderId="59" xfId="3" applyFont="1" applyFill="1" applyBorder="1" applyAlignment="1" applyProtection="1">
      <alignment horizontal="left" vertical="top" wrapText="1"/>
      <protection locked="0"/>
    </xf>
    <xf numFmtId="0" fontId="45" fillId="16" borderId="62" xfId="3" applyFont="1" applyFill="1" applyBorder="1" applyAlignment="1" applyProtection="1">
      <alignment horizontal="center" vertical="top"/>
      <protection hidden="1"/>
    </xf>
    <xf numFmtId="0" fontId="45" fillId="16" borderId="63" xfId="3" applyFont="1" applyFill="1" applyBorder="1" applyAlignment="1" applyProtection="1">
      <alignment horizontal="left" vertical="top" wrapText="1"/>
      <protection locked="0"/>
    </xf>
    <xf numFmtId="0" fontId="45" fillId="5" borderId="63" xfId="3" applyFont="1" applyFill="1" applyBorder="1" applyAlignment="1" applyProtection="1">
      <alignment horizontal="left" vertical="top" wrapText="1"/>
      <protection locked="0"/>
    </xf>
    <xf numFmtId="1" fontId="124" fillId="5" borderId="63" xfId="3" applyNumberFormat="1" applyFont="1" applyFill="1" applyBorder="1" applyAlignment="1" applyProtection="1">
      <alignment horizontal="center" vertical="center" wrapText="1"/>
      <protection locked="0"/>
    </xf>
    <xf numFmtId="0" fontId="59" fillId="5" borderId="64" xfId="3" applyFont="1" applyFill="1" applyBorder="1" applyAlignment="1" applyProtection="1">
      <alignment horizontal="center" vertical="center" wrapText="1"/>
      <protection locked="0"/>
    </xf>
    <xf numFmtId="1" fontId="145" fillId="0" borderId="65" xfId="3" applyNumberFormat="1" applyFont="1" applyBorder="1" applyAlignment="1" applyProtection="1">
      <alignment horizontal="center" vertical="center" wrapText="1"/>
      <protection locked="0"/>
    </xf>
    <xf numFmtId="0" fontId="45" fillId="9" borderId="0" xfId="3" applyFont="1" applyFill="1" applyAlignment="1">
      <alignment horizontal="left" indent="13"/>
    </xf>
    <xf numFmtId="0" fontId="39" fillId="0" borderId="3" xfId="18" applyFont="1" applyBorder="1" applyAlignment="1" applyProtection="1">
      <alignment vertical="center"/>
      <protection hidden="1"/>
    </xf>
    <xf numFmtId="0" fontId="64" fillId="0" borderId="3" xfId="18" applyFont="1" applyBorder="1" applyAlignment="1" applyProtection="1">
      <alignment vertical="center"/>
      <protection hidden="1"/>
    </xf>
    <xf numFmtId="0" fontId="102" fillId="0" borderId="0" xfId="18" applyFont="1" applyAlignment="1" applyProtection="1">
      <alignment horizontal="left" vertical="center"/>
      <protection hidden="1"/>
    </xf>
    <xf numFmtId="0" fontId="113" fillId="0" borderId="0" xfId="18" applyFont="1"/>
    <xf numFmtId="0" fontId="45" fillId="0" borderId="0" xfId="18" applyFont="1"/>
    <xf numFmtId="0" fontId="97" fillId="10" borderId="56" xfId="21" applyFont="1" applyFill="1" applyBorder="1" applyAlignment="1">
      <alignment horizontal="left" vertical="top" wrapText="1"/>
    </xf>
    <xf numFmtId="0" fontId="1" fillId="0" borderId="1" xfId="3" applyFont="1" applyBorder="1" applyAlignment="1" applyProtection="1">
      <alignment horizontal="left" vertical="top" wrapText="1"/>
      <protection hidden="1"/>
    </xf>
    <xf numFmtId="0" fontId="41" fillId="0" borderId="3" xfId="0" applyFont="1" applyBorder="1" applyAlignment="1" applyProtection="1">
      <alignment horizontal="right" vertical="center"/>
      <protection hidden="1"/>
    </xf>
    <xf numFmtId="0" fontId="68" fillId="0" borderId="0" xfId="18" applyFont="1" applyAlignment="1" applyProtection="1">
      <alignment horizontal="right" vertical="center"/>
      <protection hidden="1"/>
    </xf>
    <xf numFmtId="0" fontId="75" fillId="0" borderId="0" xfId="5" applyFont="1" applyAlignment="1" applyProtection="1">
      <alignment horizontal="left" textRotation="90"/>
      <protection hidden="1"/>
    </xf>
    <xf numFmtId="49" fontId="44" fillId="0" borderId="41" xfId="19" applyNumberFormat="1" applyFont="1" applyBorder="1" applyAlignment="1" applyProtection="1">
      <alignment horizontal="left" vertical="center" wrapText="1" shrinkToFit="1"/>
      <protection hidden="1"/>
    </xf>
    <xf numFmtId="49" fontId="44" fillId="0" borderId="3" xfId="19" applyNumberFormat="1" applyFont="1" applyBorder="1" applyAlignment="1" applyProtection="1">
      <alignment horizontal="left" vertical="center" wrapText="1" shrinkToFit="1"/>
      <protection hidden="1"/>
    </xf>
    <xf numFmtId="49" fontId="44" fillId="0" borderId="49" xfId="19" applyNumberFormat="1" applyFont="1" applyBorder="1" applyAlignment="1" applyProtection="1">
      <alignment horizontal="left" vertical="center" wrapText="1" shrinkToFit="1"/>
      <protection hidden="1"/>
    </xf>
    <xf numFmtId="0" fontId="72" fillId="0" borderId="0" xfId="24" applyFont="1"/>
    <xf numFmtId="49" fontId="44" fillId="0" borderId="15" xfId="19" applyNumberFormat="1" applyFont="1" applyBorder="1" applyAlignment="1" applyProtection="1">
      <alignment horizontal="left" vertical="center" wrapText="1" shrinkToFit="1"/>
      <protection hidden="1"/>
    </xf>
    <xf numFmtId="49" fontId="44" fillId="0" borderId="0" xfId="19" applyNumberFormat="1" applyFont="1" applyAlignment="1" applyProtection="1">
      <alignment horizontal="left" vertical="center" wrapText="1" shrinkToFit="1"/>
      <protection hidden="1"/>
    </xf>
    <xf numFmtId="49" fontId="44" fillId="0" borderId="8" xfId="19" applyNumberFormat="1" applyFont="1" applyBorder="1" applyAlignment="1" applyProtection="1">
      <alignment horizontal="left" vertical="center" wrapText="1" shrinkToFit="1"/>
      <protection hidden="1"/>
    </xf>
    <xf numFmtId="49" fontId="44" fillId="0" borderId="9" xfId="19" applyNumberFormat="1" applyFont="1" applyBorder="1" applyAlignment="1" applyProtection="1">
      <alignment horizontal="left" vertical="center" wrapText="1" shrinkToFit="1"/>
      <protection hidden="1"/>
    </xf>
    <xf numFmtId="49" fontId="44" fillId="0" borderId="39" xfId="19" applyNumberFormat="1" applyFont="1" applyBorder="1" applyAlignment="1" applyProtection="1">
      <alignment horizontal="left" vertical="center" wrapText="1" shrinkToFit="1"/>
      <protection hidden="1"/>
    </xf>
    <xf numFmtId="49" fontId="44" fillId="0" borderId="50" xfId="19" applyNumberFormat="1" applyFont="1" applyBorder="1" applyAlignment="1" applyProtection="1">
      <alignment horizontal="left" vertical="center" wrapText="1" shrinkToFit="1"/>
      <protection hidden="1"/>
    </xf>
    <xf numFmtId="49" fontId="44" fillId="0" borderId="51" xfId="19" applyNumberFormat="1" applyFont="1" applyBorder="1" applyAlignment="1" applyProtection="1">
      <alignment horizontal="left" vertical="center" wrapText="1" shrinkToFit="1"/>
      <protection hidden="1"/>
    </xf>
    <xf numFmtId="0" fontId="44" fillId="0" borderId="9" xfId="19" applyFont="1" applyBorder="1" applyAlignment="1" applyProtection="1">
      <alignment horizontal="left" vertical="center" wrapText="1" shrinkToFit="1"/>
      <protection hidden="1"/>
    </xf>
    <xf numFmtId="0" fontId="44" fillId="0" borderId="0" xfId="19" applyFont="1" applyAlignment="1" applyProtection="1">
      <alignment horizontal="left" vertical="center" wrapText="1" shrinkToFit="1"/>
      <protection hidden="1"/>
    </xf>
    <xf numFmtId="0" fontId="44" fillId="0" borderId="39" xfId="19" applyFont="1" applyBorder="1" applyAlignment="1" applyProtection="1">
      <alignment horizontal="left" vertical="center" wrapText="1" shrinkToFit="1"/>
      <protection hidden="1"/>
    </xf>
    <xf numFmtId="49" fontId="44" fillId="0" borderId="9" xfId="19" applyNumberFormat="1" applyFont="1" applyBorder="1" applyAlignment="1" applyProtection="1">
      <alignment horizontal="center" vertical="center" wrapText="1" shrinkToFit="1"/>
      <protection hidden="1"/>
    </xf>
    <xf numFmtId="49" fontId="44" fillId="0" borderId="8" xfId="19" applyNumberFormat="1" applyFont="1" applyBorder="1" applyAlignment="1" applyProtection="1">
      <alignment horizontal="center" vertical="center" wrapText="1" shrinkToFit="1"/>
      <protection hidden="1"/>
    </xf>
    <xf numFmtId="49" fontId="120" fillId="36" borderId="40" xfId="19" applyNumberFormat="1" applyFont="1" applyFill="1" applyBorder="1" applyAlignment="1" applyProtection="1">
      <alignment horizontal="left" wrapText="1" shrinkToFit="1"/>
      <protection hidden="1"/>
    </xf>
    <xf numFmtId="49" fontId="120" fillId="36" borderId="4" xfId="19" applyNumberFormat="1" applyFont="1" applyFill="1" applyBorder="1" applyAlignment="1" applyProtection="1">
      <alignment horizontal="left" wrapText="1" shrinkToFit="1"/>
      <protection hidden="1"/>
    </xf>
    <xf numFmtId="49" fontId="120" fillId="36" borderId="45" xfId="19" applyNumberFormat="1" applyFont="1" applyFill="1" applyBorder="1" applyAlignment="1" applyProtection="1">
      <alignment horizontal="left" wrapText="1" shrinkToFit="1"/>
      <protection hidden="1"/>
    </xf>
    <xf numFmtId="0" fontId="120" fillId="36" borderId="40" xfId="19" applyFont="1" applyFill="1" applyBorder="1" applyAlignment="1" applyProtection="1">
      <alignment horizontal="left"/>
      <protection hidden="1"/>
    </xf>
    <xf numFmtId="0" fontId="120" fillId="36" borderId="45" xfId="19" applyFont="1" applyFill="1" applyBorder="1" applyAlignment="1" applyProtection="1">
      <alignment horizontal="left"/>
      <protection hidden="1"/>
    </xf>
    <xf numFmtId="0" fontId="44" fillId="0" borderId="8" xfId="19" applyFont="1" applyBorder="1" applyAlignment="1" applyProtection="1">
      <alignment horizontal="left" vertical="center" wrapText="1" shrinkToFit="1"/>
      <protection hidden="1"/>
    </xf>
    <xf numFmtId="0" fontId="45" fillId="8" borderId="0" xfId="3" applyFont="1" applyFill="1" applyAlignment="1" applyProtection="1">
      <alignment horizontal="left" vertical="top" wrapText="1"/>
      <protection hidden="1"/>
    </xf>
    <xf numFmtId="0" fontId="75" fillId="8" borderId="0" xfId="3" applyFont="1" applyFill="1" applyAlignment="1" applyProtection="1">
      <alignment horizontal="center" textRotation="90"/>
      <protection hidden="1"/>
    </xf>
    <xf numFmtId="0" fontId="43" fillId="8" borderId="0" xfId="3" applyFont="1" applyFill="1" applyAlignment="1" applyProtection="1">
      <alignment horizontal="center" textRotation="90" wrapText="1"/>
      <protection hidden="1"/>
    </xf>
    <xf numFmtId="0" fontId="70" fillId="8" borderId="0" xfId="3" applyFont="1" applyFill="1" applyAlignment="1" applyProtection="1">
      <alignment horizontal="center" textRotation="90" wrapText="1"/>
      <protection hidden="1"/>
    </xf>
    <xf numFmtId="0" fontId="79" fillId="0" borderId="0" xfId="3" applyFont="1" applyAlignment="1" applyProtection="1">
      <alignment horizontal="center" textRotation="90"/>
      <protection hidden="1"/>
    </xf>
    <xf numFmtId="0" fontId="96" fillId="10" borderId="0" xfId="3" applyFont="1" applyFill="1" applyAlignment="1" applyProtection="1">
      <alignment horizontal="left" vertical="top" wrapText="1"/>
      <protection hidden="1"/>
    </xf>
    <xf numFmtId="0" fontId="74" fillId="10" borderId="0" xfId="3" applyFont="1" applyFill="1" applyAlignment="1" applyProtection="1">
      <alignment horizontal="right" vertical="center" wrapText="1"/>
      <protection hidden="1"/>
    </xf>
    <xf numFmtId="0" fontId="45" fillId="23" borderId="0" xfId="3" applyFont="1" applyFill="1" applyAlignment="1" applyProtection="1">
      <alignment horizontal="left" vertical="top" wrapText="1"/>
      <protection hidden="1"/>
    </xf>
    <xf numFmtId="0" fontId="113" fillId="0" borderId="0" xfId="3" applyFont="1" applyAlignment="1" applyProtection="1">
      <alignment horizontal="left" vertical="top" wrapText="1"/>
      <protection hidden="1"/>
    </xf>
    <xf numFmtId="0" fontId="109" fillId="8" borderId="0" xfId="3" applyFont="1" applyFill="1" applyAlignment="1" applyProtection="1">
      <alignment horizontal="center" textRotation="90" wrapText="1"/>
      <protection hidden="1"/>
    </xf>
    <xf numFmtId="0" fontId="77" fillId="0" borderId="0" xfId="3" applyFont="1" applyAlignment="1" applyProtection="1">
      <alignment horizontal="left" vertical="top" wrapText="1"/>
      <protection hidden="1"/>
    </xf>
    <xf numFmtId="0" fontId="44" fillId="19" borderId="59" xfId="0" applyFont="1" applyFill="1" applyBorder="1" applyAlignment="1" applyProtection="1">
      <alignment horizontal="center" vertical="top" wrapText="1"/>
      <protection locked="0"/>
    </xf>
    <xf numFmtId="9" fontId="44" fillId="19" borderId="59" xfId="0" applyNumberFormat="1" applyFont="1" applyFill="1" applyBorder="1" applyAlignment="1">
      <alignment horizontal="center" vertical="top" wrapText="1"/>
    </xf>
    <xf numFmtId="9" fontId="44" fillId="14" borderId="59" xfId="0" applyNumberFormat="1" applyFont="1" applyFill="1" applyBorder="1" applyAlignment="1" applyProtection="1">
      <alignment horizontal="center" vertical="top" wrapText="1"/>
      <protection locked="0"/>
    </xf>
    <xf numFmtId="0" fontId="44" fillId="14" borderId="59" xfId="0" applyFont="1" applyFill="1" applyBorder="1" applyAlignment="1" applyProtection="1">
      <alignment horizontal="center" vertical="top" wrapText="1"/>
      <protection locked="0"/>
    </xf>
    <xf numFmtId="9" fontId="44" fillId="24" borderId="59" xfId="0" applyNumberFormat="1" applyFont="1" applyFill="1" applyBorder="1" applyAlignment="1" applyProtection="1">
      <alignment horizontal="center" vertical="top" wrapText="1"/>
      <protection locked="0"/>
    </xf>
    <xf numFmtId="0" fontId="44" fillId="24" borderId="59" xfId="0" applyFont="1" applyFill="1" applyBorder="1" applyAlignment="1" applyProtection="1">
      <alignment horizontal="center" vertical="top" wrapText="1"/>
      <protection locked="0"/>
    </xf>
    <xf numFmtId="0" fontId="50" fillId="8" borderId="59" xfId="0" applyFont="1" applyFill="1" applyBorder="1" applyAlignment="1">
      <alignment horizontal="center" vertical="top"/>
    </xf>
    <xf numFmtId="0" fontId="88" fillId="19" borderId="63" xfId="0" applyFont="1" applyFill="1" applyBorder="1" applyAlignment="1" applyProtection="1">
      <alignment horizontal="left" vertical="top" wrapText="1"/>
      <protection locked="0"/>
    </xf>
    <xf numFmtId="0" fontId="88" fillId="19" borderId="56" xfId="0" applyFont="1" applyFill="1" applyBorder="1" applyAlignment="1" applyProtection="1">
      <alignment horizontal="left" vertical="top" wrapText="1"/>
      <protection locked="0"/>
    </xf>
    <xf numFmtId="0" fontId="44" fillId="19" borderId="58" xfId="0" applyFont="1" applyFill="1" applyBorder="1" applyAlignment="1" applyProtection="1">
      <alignment horizontal="center" vertical="top" wrapText="1"/>
      <protection locked="0"/>
    </xf>
    <xf numFmtId="0" fontId="44" fillId="19" borderId="58" xfId="0" applyFont="1" applyFill="1" applyBorder="1" applyAlignment="1" applyProtection="1">
      <alignment vertical="top"/>
      <protection locked="0"/>
    </xf>
    <xf numFmtId="0" fontId="59" fillId="19" borderId="59" xfId="0" applyFont="1" applyFill="1" applyBorder="1" applyAlignment="1">
      <alignment horizontal="center" vertical="top" wrapText="1"/>
    </xf>
    <xf numFmtId="0" fontId="44" fillId="19" borderId="59" xfId="0" applyFont="1" applyFill="1" applyBorder="1" applyAlignment="1">
      <alignment horizontal="center" vertical="top" wrapText="1"/>
    </xf>
    <xf numFmtId="0" fontId="44" fillId="18" borderId="58" xfId="0" applyFont="1" applyFill="1" applyBorder="1" applyAlignment="1" applyProtection="1">
      <alignment horizontal="left" vertical="top" wrapText="1"/>
      <protection locked="0"/>
    </xf>
    <xf numFmtId="0" fontId="88" fillId="19" borderId="59" xfId="0" applyFont="1" applyFill="1" applyBorder="1" applyAlignment="1" applyProtection="1">
      <alignment horizontal="left" vertical="top" wrapText="1"/>
      <protection locked="0"/>
    </xf>
    <xf numFmtId="0" fontId="44" fillId="18" borderId="58" xfId="0" applyFont="1" applyFill="1" applyBorder="1" applyAlignment="1" applyProtection="1">
      <alignment horizontal="center" vertical="top" wrapText="1"/>
      <protection locked="0"/>
    </xf>
    <xf numFmtId="0" fontId="44" fillId="18" borderId="58" xfId="0" applyFont="1" applyFill="1" applyBorder="1" applyAlignment="1" applyProtection="1">
      <alignment vertical="top"/>
      <protection locked="0"/>
    </xf>
    <xf numFmtId="0" fontId="44" fillId="18" borderId="59" xfId="0" applyFont="1" applyFill="1" applyBorder="1" applyAlignment="1" applyProtection="1">
      <alignment horizontal="center" vertical="top" wrapText="1"/>
      <protection locked="0"/>
    </xf>
    <xf numFmtId="9" fontId="44" fillId="18" borderId="59" xfId="0" applyNumberFormat="1" applyFont="1" applyFill="1" applyBorder="1" applyAlignment="1">
      <alignment horizontal="center" vertical="top" wrapText="1"/>
    </xf>
    <xf numFmtId="0" fontId="44" fillId="19" borderId="58" xfId="0" applyFont="1" applyFill="1" applyBorder="1" applyAlignment="1" applyProtection="1">
      <alignment horizontal="left" vertical="top" wrapText="1"/>
      <protection locked="0"/>
    </xf>
    <xf numFmtId="0" fontId="88" fillId="18" borderId="59" xfId="0" quotePrefix="1" applyFont="1" applyFill="1" applyBorder="1" applyAlignment="1" applyProtection="1">
      <alignment horizontal="left" vertical="top" wrapText="1"/>
      <protection locked="0"/>
    </xf>
    <xf numFmtId="0" fontId="88" fillId="18" borderId="59" xfId="0" applyFont="1" applyFill="1" applyBorder="1" applyAlignment="1" applyProtection="1">
      <alignment horizontal="left" vertical="top" wrapText="1"/>
      <protection locked="0"/>
    </xf>
    <xf numFmtId="0" fontId="88" fillId="19" borderId="59" xfId="0" quotePrefix="1" applyFont="1" applyFill="1" applyBorder="1" applyAlignment="1" applyProtection="1">
      <alignment horizontal="left" vertical="top" wrapText="1"/>
      <protection locked="0"/>
    </xf>
    <xf numFmtId="9" fontId="44" fillId="13" borderId="59" xfId="0" applyNumberFormat="1" applyFont="1" applyFill="1" applyBorder="1" applyAlignment="1" applyProtection="1">
      <alignment horizontal="center" vertical="top" wrapText="1"/>
      <protection locked="0"/>
    </xf>
    <xf numFmtId="0" fontId="44" fillId="13" borderId="59" xfId="0" applyFont="1" applyFill="1" applyBorder="1" applyAlignment="1" applyProtection="1">
      <alignment horizontal="center" vertical="top" wrapText="1"/>
      <protection locked="0"/>
    </xf>
    <xf numFmtId="9" fontId="44" fillId="4" borderId="59" xfId="0" applyNumberFormat="1" applyFont="1" applyFill="1" applyBorder="1" applyAlignment="1" applyProtection="1">
      <alignment horizontal="center" vertical="top" wrapText="1"/>
      <protection locked="0"/>
    </xf>
    <xf numFmtId="0" fontId="44" fillId="4" borderId="59" xfId="0" applyFont="1" applyFill="1" applyBorder="1" applyAlignment="1" applyProtection="1">
      <alignment horizontal="center" vertical="top" wrapText="1"/>
      <protection locked="0"/>
    </xf>
    <xf numFmtId="0" fontId="59" fillId="18" borderId="59" xfId="0" applyFont="1" applyFill="1" applyBorder="1" applyAlignment="1">
      <alignment horizontal="center" vertical="top" wrapText="1"/>
    </xf>
    <xf numFmtId="0" fontId="44" fillId="18" borderId="59" xfId="0" applyFont="1" applyFill="1" applyBorder="1" applyAlignment="1">
      <alignment horizontal="center" vertical="top" wrapText="1"/>
    </xf>
    <xf numFmtId="0" fontId="88" fillId="18" borderId="63" xfId="0" applyFont="1" applyFill="1" applyBorder="1" applyAlignment="1" applyProtection="1">
      <alignment horizontal="left" vertical="top" wrapText="1"/>
      <protection locked="0"/>
    </xf>
    <xf numFmtId="0" fontId="88" fillId="18" borderId="56" xfId="0" applyFont="1" applyFill="1" applyBorder="1" applyAlignment="1" applyProtection="1">
      <alignment horizontal="left" vertical="top" wrapText="1"/>
      <protection locked="0"/>
    </xf>
    <xf numFmtId="0" fontId="88" fillId="19" borderId="59" xfId="0" quotePrefix="1" applyFont="1" applyFill="1" applyBorder="1" applyAlignment="1">
      <alignment horizontal="left" vertical="top" wrapText="1"/>
    </xf>
    <xf numFmtId="0" fontId="88" fillId="19" borderId="59" xfId="0" applyFont="1" applyFill="1" applyBorder="1" applyAlignment="1">
      <alignment horizontal="left" vertical="top" wrapText="1"/>
    </xf>
    <xf numFmtId="9" fontId="59" fillId="19" borderId="59" xfId="0" applyNumberFormat="1" applyFont="1" applyFill="1" applyBorder="1" applyAlignment="1">
      <alignment horizontal="center" vertical="top" wrapText="1"/>
    </xf>
    <xf numFmtId="0" fontId="44" fillId="19" borderId="58" xfId="0" applyFont="1" applyFill="1" applyBorder="1" applyAlignment="1">
      <alignment horizontal="left" vertical="top" wrapText="1"/>
    </xf>
    <xf numFmtId="0" fontId="88" fillId="19" borderId="63" xfId="0" applyFont="1" applyFill="1" applyBorder="1" applyAlignment="1">
      <alignment horizontal="left" vertical="top" wrapText="1"/>
    </xf>
    <xf numFmtId="0" fontId="88" fillId="19" borderId="56" xfId="0" applyFont="1" applyFill="1" applyBorder="1" applyAlignment="1">
      <alignment horizontal="left" vertical="top" wrapText="1"/>
    </xf>
    <xf numFmtId="0" fontId="88" fillId="18" borderId="59" xfId="0" quotePrefix="1" applyFont="1" applyFill="1" applyBorder="1" applyAlignment="1">
      <alignment horizontal="left" vertical="top" wrapText="1"/>
    </xf>
    <xf numFmtId="0" fontId="88" fillId="18" borderId="59" xfId="0" applyFont="1" applyFill="1" applyBorder="1" applyAlignment="1">
      <alignment horizontal="left" vertical="top" wrapText="1"/>
    </xf>
    <xf numFmtId="9" fontId="59" fillId="18" borderId="59" xfId="0" applyNumberFormat="1" applyFont="1" applyFill="1" applyBorder="1" applyAlignment="1">
      <alignment horizontal="center" vertical="top" wrapText="1"/>
    </xf>
    <xf numFmtId="0" fontId="44" fillId="18" borderId="58" xfId="0" applyFont="1" applyFill="1" applyBorder="1" applyAlignment="1">
      <alignment horizontal="left" vertical="top" wrapText="1"/>
    </xf>
    <xf numFmtId="0" fontId="88" fillId="18" borderId="63" xfId="0" applyFont="1" applyFill="1" applyBorder="1" applyAlignment="1">
      <alignment horizontal="left" vertical="top" wrapText="1"/>
    </xf>
    <xf numFmtId="0" fontId="88" fillId="18" borderId="56" xfId="0" applyFont="1" applyFill="1" applyBorder="1" applyAlignment="1">
      <alignment horizontal="left" vertical="top" wrapText="1"/>
    </xf>
    <xf numFmtId="0" fontId="58" fillId="10" borderId="57" xfId="0" applyFont="1" applyFill="1" applyBorder="1" applyAlignment="1">
      <alignment horizontal="center"/>
    </xf>
    <xf numFmtId="0" fontId="58" fillId="10" borderId="66" xfId="0" applyFont="1" applyFill="1" applyBorder="1" applyAlignment="1">
      <alignment horizontal="center"/>
    </xf>
    <xf numFmtId="0" fontId="94" fillId="9" borderId="3" xfId="0" applyFont="1" applyFill="1" applyBorder="1" applyAlignment="1" applyProtection="1">
      <alignment horizontal="left" vertical="center" wrapText="1"/>
      <protection hidden="1"/>
    </xf>
    <xf numFmtId="0" fontId="90" fillId="26" borderId="0" xfId="20" applyFont="1" applyFill="1" applyAlignment="1" applyProtection="1">
      <alignment horizontal="center" vertical="center"/>
      <protection locked="0"/>
    </xf>
    <xf numFmtId="0" fontId="44" fillId="12" borderId="0" xfId="20" applyFont="1" applyFill="1" applyAlignment="1" applyProtection="1">
      <alignment horizontal="center" vertical="center"/>
      <protection locked="0"/>
    </xf>
    <xf numFmtId="0" fontId="75" fillId="26" borderId="0" xfId="20" applyFont="1" applyFill="1" applyAlignment="1" applyProtection="1">
      <alignment horizontal="center" vertical="center"/>
      <protection locked="0"/>
    </xf>
    <xf numFmtId="0" fontId="65" fillId="11" borderId="56" xfId="0" applyFont="1" applyFill="1" applyBorder="1" applyAlignment="1" applyProtection="1">
      <alignment horizontal="center" vertical="center" wrapText="1"/>
      <protection locked="0"/>
    </xf>
    <xf numFmtId="0" fontId="65" fillId="11" borderId="57" xfId="0" applyFont="1" applyFill="1" applyBorder="1" applyAlignment="1" applyProtection="1">
      <alignment horizontal="center" vertical="center" wrapText="1"/>
      <protection locked="0"/>
    </xf>
    <xf numFmtId="0" fontId="45" fillId="0" borderId="27" xfId="11" applyFont="1" applyBorder="1" applyAlignment="1" applyProtection="1">
      <alignment vertical="center" wrapText="1"/>
      <protection locked="0"/>
    </xf>
    <xf numFmtId="0" fontId="45" fillId="0" borderId="28" xfId="11" applyFont="1" applyBorder="1" applyAlignment="1" applyProtection="1">
      <alignment vertical="center" wrapText="1"/>
      <protection locked="0"/>
    </xf>
    <xf numFmtId="0" fontId="80" fillId="0" borderId="29" xfId="11" applyFont="1" applyBorder="1" applyAlignment="1" applyProtection="1">
      <alignment horizontal="center" vertical="center" wrapText="1"/>
      <protection locked="0"/>
    </xf>
    <xf numFmtId="0" fontId="45" fillId="0" borderId="27" xfId="11" applyFont="1" applyBorder="1" applyAlignment="1" applyProtection="1">
      <alignment vertical="center" wrapText="1"/>
      <protection hidden="1"/>
    </xf>
    <xf numFmtId="0" fontId="45" fillId="0" borderId="31" xfId="11" applyFont="1" applyBorder="1" applyAlignment="1" applyProtection="1">
      <alignment vertical="center" wrapText="1"/>
      <protection hidden="1"/>
    </xf>
    <xf numFmtId="0" fontId="45" fillId="0" borderId="28" xfId="11" applyFont="1" applyBorder="1" applyAlignment="1" applyProtection="1">
      <alignment vertical="center" wrapText="1"/>
      <protection hidden="1"/>
    </xf>
    <xf numFmtId="0" fontId="45" fillId="0" borderId="32" xfId="11" applyFont="1" applyBorder="1" applyAlignment="1" applyProtection="1">
      <alignment vertical="center" wrapText="1"/>
      <protection hidden="1"/>
    </xf>
    <xf numFmtId="3" fontId="80" fillId="0" borderId="29" xfId="11" applyNumberFormat="1" applyFont="1" applyBorder="1" applyAlignment="1" applyProtection="1">
      <alignment horizontal="center" vertical="center" wrapText="1"/>
      <protection hidden="1"/>
    </xf>
    <xf numFmtId="0" fontId="80" fillId="0" borderId="33" xfId="11" applyFont="1" applyBorder="1" applyAlignment="1" applyProtection="1">
      <alignment horizontal="center" vertical="center" wrapText="1"/>
      <protection hidden="1"/>
    </xf>
    <xf numFmtId="0" fontId="45" fillId="0" borderId="31" xfId="11" applyFont="1" applyBorder="1" applyAlignment="1" applyProtection="1">
      <alignment vertical="center" wrapText="1"/>
      <protection locked="0"/>
    </xf>
    <xf numFmtId="0" fontId="45" fillId="0" borderId="32" xfId="11" applyFont="1" applyBorder="1" applyAlignment="1" applyProtection="1">
      <alignment vertical="center" wrapText="1"/>
      <protection locked="0"/>
    </xf>
    <xf numFmtId="3" fontId="80" fillId="0" borderId="29" xfId="11" applyNumberFormat="1" applyFont="1" applyBorder="1" applyAlignment="1" applyProtection="1">
      <alignment horizontal="center" vertical="center" wrapText="1"/>
      <protection locked="0"/>
    </xf>
    <xf numFmtId="0" fontId="80" fillId="0" borderId="33" xfId="11" applyFont="1" applyBorder="1" applyAlignment="1" applyProtection="1">
      <alignment horizontal="center" vertical="center" wrapText="1"/>
      <protection locked="0"/>
    </xf>
    <xf numFmtId="0" fontId="80" fillId="0" borderId="2" xfId="11" applyFont="1" applyBorder="1" applyAlignment="1" applyProtection="1">
      <alignment horizontal="center" vertical="center" wrapText="1"/>
      <protection locked="0"/>
    </xf>
    <xf numFmtId="0" fontId="80" fillId="0" borderId="6" xfId="11" applyFont="1" applyBorder="1" applyAlignment="1" applyProtection="1">
      <alignment horizontal="center" vertical="center" wrapText="1"/>
      <protection locked="0"/>
    </xf>
    <xf numFmtId="0" fontId="80" fillId="0" borderId="7" xfId="11" applyFont="1" applyBorder="1" applyAlignment="1" applyProtection="1">
      <alignment horizontal="center" vertical="center" wrapText="1"/>
      <protection locked="0"/>
    </xf>
    <xf numFmtId="0" fontId="45" fillId="0" borderId="24" xfId="11" applyFont="1" applyBorder="1" applyAlignment="1" applyProtection="1">
      <alignment vertical="center" wrapText="1"/>
      <protection locked="0"/>
    </xf>
    <xf numFmtId="0" fontId="45" fillId="0" borderId="25" xfId="11" applyFont="1" applyBorder="1" applyAlignment="1" applyProtection="1">
      <alignment vertical="center" wrapText="1"/>
      <protection locked="0"/>
    </xf>
    <xf numFmtId="0" fontId="80" fillId="0" borderId="26" xfId="11" applyFont="1" applyBorder="1" applyAlignment="1" applyProtection="1">
      <alignment horizontal="center" vertical="center" wrapText="1"/>
      <protection locked="0"/>
    </xf>
    <xf numFmtId="9" fontId="80" fillId="0" borderId="29" xfId="11" applyNumberFormat="1" applyFont="1" applyBorder="1" applyAlignment="1" applyProtection="1">
      <alignment horizontal="center" vertical="center" wrapText="1"/>
      <protection locked="0"/>
    </xf>
    <xf numFmtId="0" fontId="45" fillId="0" borderId="35" xfId="11" applyFont="1" applyBorder="1" applyAlignment="1" applyProtection="1">
      <alignment vertical="center" wrapText="1"/>
      <protection locked="0"/>
    </xf>
    <xf numFmtId="0" fontId="45" fillId="0" borderId="36" xfId="11" applyFont="1" applyBorder="1" applyAlignment="1" applyProtection="1">
      <alignment vertical="center" wrapText="1"/>
      <protection locked="0"/>
    </xf>
    <xf numFmtId="0" fontId="80" fillId="0" borderId="37" xfId="11" applyFont="1" applyBorder="1" applyAlignment="1" applyProtection="1">
      <alignment horizontal="center" vertical="center" wrapText="1"/>
      <protection locked="0"/>
    </xf>
    <xf numFmtId="0" fontId="68" fillId="0" borderId="0" xfId="25" applyFont="1" applyAlignment="1" applyProtection="1">
      <alignment horizontal="right" vertical="center"/>
      <protection hidden="1"/>
    </xf>
    <xf numFmtId="0" fontId="43" fillId="0" borderId="0" xfId="0" quotePrefix="1" applyFont="1" applyAlignment="1" applyProtection="1">
      <alignment horizontal="left" vertical="top" wrapText="1"/>
      <protection locked="0"/>
    </xf>
    <xf numFmtId="0" fontId="43" fillId="0" borderId="0" xfId="0" applyFont="1" applyAlignment="1" applyProtection="1">
      <alignment horizontal="left" vertical="top" wrapText="1"/>
      <protection locked="0"/>
    </xf>
    <xf numFmtId="0" fontId="43" fillId="0" borderId="42" xfId="0" applyFont="1" applyBorder="1" applyAlignment="1" applyProtection="1">
      <alignment horizontal="left" vertical="top" wrapText="1"/>
      <protection locked="0"/>
    </xf>
  </cellXfs>
  <cellStyles count="32">
    <cellStyle name="20 % - Akzent3" xfId="16" builtinId="38"/>
    <cellStyle name="40 % - Akzent3" xfId="1" builtinId="39"/>
    <cellStyle name="40 % - Akzent4" xfId="2" builtinId="43"/>
    <cellStyle name="Euro" xfId="28" xr:uid="{00000000-0005-0000-0000-000003000000}"/>
    <cellStyle name="Hyperlink 2" xfId="29" xr:uid="{00000000-0005-0000-0000-000005000000}"/>
    <cellStyle name="Hyperlink 3" xfId="30" xr:uid="{00000000-0005-0000-0000-000006000000}"/>
    <cellStyle name="Hyperlink 4" xfId="31" xr:uid="{00000000-0005-0000-0000-000007000000}"/>
    <cellStyle name="Komma 2" xfId="9" xr:uid="{00000000-0005-0000-0000-000008000000}"/>
    <cellStyle name="Link" xfId="5" builtinId="8"/>
    <cellStyle name="Link 2" xfId="13" xr:uid="{00000000-0005-0000-0000-000009000000}"/>
    <cellStyle name="Normal 2" xfId="27" xr:uid="{00000000-0005-0000-0000-00000B000000}"/>
    <cellStyle name="Prozent" xfId="26" builtinId="5"/>
    <cellStyle name="Prozent 2" xfId="10" xr:uid="{00000000-0005-0000-0000-00000D000000}"/>
    <cellStyle name="Standard" xfId="0" builtinId="0"/>
    <cellStyle name="Standard 10" xfId="18" xr:uid="{00000000-0005-0000-0000-00000E000000}"/>
    <cellStyle name="Standard 10 2" xfId="25" xr:uid="{00000000-0005-0000-0000-00000F000000}"/>
    <cellStyle name="Standard 11" xfId="19" xr:uid="{00000000-0005-0000-0000-000010000000}"/>
    <cellStyle name="Standard 12" xfId="21" xr:uid="{00000000-0005-0000-0000-000011000000}"/>
    <cellStyle name="Standard 13" xfId="22" xr:uid="{00000000-0005-0000-0000-000012000000}"/>
    <cellStyle name="Standard 14" xfId="24" xr:uid="{00000000-0005-0000-0000-000013000000}"/>
    <cellStyle name="Standard 2" xfId="6" xr:uid="{00000000-0005-0000-0000-000014000000}"/>
    <cellStyle name="Standard 3" xfId="4" xr:uid="{00000000-0005-0000-0000-000015000000}"/>
    <cellStyle name="Standard 3 2" xfId="3" xr:uid="{00000000-0005-0000-0000-000016000000}"/>
    <cellStyle name="Standard 3 2 2" xfId="20" xr:uid="{00000000-0005-0000-0000-000017000000}"/>
    <cellStyle name="Standard 4" xfId="8" xr:uid="{00000000-0005-0000-0000-000018000000}"/>
    <cellStyle name="Standard 5" xfId="11" xr:uid="{00000000-0005-0000-0000-000019000000}"/>
    <cellStyle name="Standard 6" xfId="12" xr:uid="{00000000-0005-0000-0000-00001A000000}"/>
    <cellStyle name="Standard 6 2" xfId="23" xr:uid="{00000000-0005-0000-0000-00001B000000}"/>
    <cellStyle name="Standard 7" xfId="14" xr:uid="{00000000-0005-0000-0000-00001C000000}"/>
    <cellStyle name="Standard 8" xfId="15" xr:uid="{00000000-0005-0000-0000-00001D000000}"/>
    <cellStyle name="Standard 9" xfId="17" xr:uid="{00000000-0005-0000-0000-00001E000000}"/>
    <cellStyle name="Währung 2" xfId="7" xr:uid="{00000000-0005-0000-0000-00001F000000}"/>
  </cellStyles>
  <dxfs count="131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theme="6" tint="0.59996337778862885"/>
      </font>
      <fill>
        <patternFill>
          <bgColor rgb="FFC6EFCE"/>
        </patternFill>
      </fill>
    </dxf>
    <dxf>
      <font>
        <color rgb="FFFFEB9C"/>
      </font>
      <fill>
        <patternFill>
          <bgColor rgb="FFFFEB9C"/>
        </patternFill>
      </fill>
    </dxf>
    <dxf>
      <font>
        <color rgb="FFFFCCCC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ln>
              <a:solidFill>
                <a:schemeClr val="tx2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bg2">
                  <a:lumMod val="90000"/>
                  <a:alpha val="50000"/>
                </a:schemeClr>
              </a:solidFill>
              <a:ln>
                <a:solidFill>
                  <a:schemeClr val="bg2">
                    <a:lumMod val="2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413A-454D-BA81-9BE40A970966}"/>
              </c:ext>
            </c:extLst>
          </c:dPt>
          <c:dPt>
            <c:idx val="1"/>
            <c:invertIfNegative val="0"/>
            <c:bubble3D val="0"/>
            <c:spPr>
              <a:solidFill>
                <a:schemeClr val="bg2">
                  <a:lumMod val="75000"/>
                  <a:alpha val="50000"/>
                </a:schemeClr>
              </a:solidFill>
              <a:ln>
                <a:solidFill>
                  <a:schemeClr val="bg2">
                    <a:lumMod val="2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413A-454D-BA81-9BE40A970966}"/>
              </c:ext>
            </c:extLst>
          </c:dPt>
          <c:dPt>
            <c:idx val="2"/>
            <c:invertIfNegative val="0"/>
            <c:bubble3D val="0"/>
            <c:spPr>
              <a:solidFill>
                <a:schemeClr val="bg1">
                  <a:lumMod val="9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413A-454D-BA81-9BE40A970966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8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413A-454D-BA81-9BE40A970966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20000"/>
                  <a:lumOff val="80000"/>
                  <a:alpha val="5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413A-454D-BA81-9BE40A970966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413A-454D-BA81-9BE40A970966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2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2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D-413A-454D-BA81-9BE40A970966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F-413A-454D-BA81-9BE40A970966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3">
                    <a:lumMod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413A-454D-BA81-9BE40A970966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3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3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3-413A-454D-BA81-9BE40A970966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5-413A-454D-BA81-9BE40A970966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4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7-413A-454D-BA81-9BE40A970966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5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9-413A-454D-BA81-9BE40A970966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5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B-413A-454D-BA81-9BE40A970966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6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D-413A-454D-BA81-9BE40A970966}"/>
              </c:ext>
            </c:extLst>
          </c:dPt>
          <c:dLbls>
            <c:dLbl>
              <c:idx val="0"/>
              <c:layout>
                <c:manualLayout>
                  <c:x val="-8.3307290698941008E-2"/>
                  <c:y val="-8.8741018247284337E-3"/>
                </c:manualLayout>
              </c:layout>
              <c:tx>
                <c:strRef>
                  <c:f>Risikomgmt!$B$5</c:f>
                  <c:strCache>
                    <c:ptCount val="1"/>
                    <c:pt idx="0">
                      <c:v>R1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{76298475-3915-4F4F-91EA-9F280E8B4345}</c15:txfldGUID>
                      <c15:f>Risikomgmt!$B$5</c15:f>
                      <c15:dlblFieldTableCache>
                        <c:ptCount val="1"/>
                        <c:pt idx="0">
                          <c:v>R1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413A-454D-BA81-9BE40A970966}"/>
                </c:ext>
              </c:extLst>
            </c:dLbl>
            <c:dLbl>
              <c:idx val="1"/>
              <c:layout>
                <c:manualLayout>
                  <c:x val="-7.113690659927642E-2"/>
                  <c:y val="-2.2185254561821132E-3"/>
                </c:manualLayout>
              </c:layout>
              <c:tx>
                <c:strRef>
                  <c:f>Risikomgmt!$B$6</c:f>
                  <c:strCache>
                    <c:ptCount val="1"/>
                    <c:pt idx="0">
                      <c:v>R2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{8EC49A63-6240-47B9-9F8A-41915244EDDA}</c15:txfldGUID>
                      <c15:f>Risikomgmt!$B$6</c15:f>
                      <c15:dlblFieldTableCache>
                        <c:ptCount val="1"/>
                        <c:pt idx="0">
                          <c:v>R2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413A-454D-BA81-9BE40A970966}"/>
                </c:ext>
              </c:extLst>
            </c:dLbl>
            <c:dLbl>
              <c:idx val="2"/>
              <c:layout>
                <c:manualLayout>
                  <c:x val="-8.7364085398829242E-2"/>
                  <c:y val="1.331115273709268E-2"/>
                </c:manualLayout>
              </c:layout>
              <c:tx>
                <c:strRef>
                  <c:f>Risikomgmt!$B$7</c:f>
                  <c:strCache>
                    <c:ptCount val="1"/>
                    <c:pt idx="0">
                      <c:v>R3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{2ADEA5C6-D2B5-4999-BAB4-C86A66EE1856}</c15:txfldGUID>
                      <c15:f>Risikomgmt!$B$7</c15:f>
                      <c15:dlblFieldTableCache>
                        <c:ptCount val="1"/>
                        <c:pt idx="0">
                          <c:v>R3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413A-454D-BA81-9BE40A970966}"/>
                </c:ext>
              </c:extLst>
            </c:dLbl>
            <c:dLbl>
              <c:idx val="3"/>
              <c:tx>
                <c:strRef>
                  <c:f>Risikomgmt!$B$8</c:f>
                  <c:strCache>
                    <c:ptCount val="1"/>
                    <c:pt idx="0">
                      <c:v>R4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{4F4E0B32-6FD7-4BFD-A22B-3767E947CA63}</c15:txfldGUID>
                      <c15:f>Risikomgmt!$B$8</c15:f>
                      <c15:dlblFieldTableCache>
                        <c:ptCount val="1"/>
                        <c:pt idx="0">
                          <c:v>R4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413A-454D-BA81-9BE40A970966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strRef>
                  <c:f>Risikomgmt!$B$9</c:f>
                  <c:strCache>
                    <c:ptCount val="1"/>
                    <c:pt idx="0">
                      <c:v>R5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{8B807432-A0F6-495D-81BD-45A939F32D01}</c15:txfldGUID>
                      <c15:f>Risikomgmt!$B$9</c15:f>
                      <c15:dlblFieldTableCache>
                        <c:ptCount val="1"/>
                        <c:pt idx="0">
                          <c:v>R5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413A-454D-BA81-9BE40A970966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strRef>
                  <c:f>Risikomgmt!$B$10</c:f>
                  <c:strCache>
                    <c:ptCount val="1"/>
                    <c:pt idx="0">
                      <c:v>R6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{71683FB6-BACD-4247-9156-E1367C7B9439}</c15:txfldGUID>
                      <c15:f>Risikomgmt!$B$10</c15:f>
                      <c15:dlblFieldTableCache>
                        <c:ptCount val="1"/>
                        <c:pt idx="0">
                          <c:v>R6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413A-454D-BA81-9BE40A970966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strRef>
                  <c:f>Risikomgmt!$B$11</c:f>
                  <c:strCache>
                    <c:ptCount val="1"/>
                    <c:pt idx="0">
                      <c:v>R7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{1D9A50FC-37A4-4239-B5F3-F9A4DC12D6B6}</c15:txfldGUID>
                      <c15:f>Risikomgmt!$B$11</c15:f>
                      <c15:dlblFieldTableCache>
                        <c:ptCount val="1"/>
                        <c:pt idx="0">
                          <c:v>R7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413A-454D-BA81-9BE40A970966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strRef>
                  <c:f>Risikomgmt!$B$12</c:f>
                  <c:strCache>
                    <c:ptCount val="1"/>
                    <c:pt idx="0">
                      <c:v>R8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{65A682D7-1F05-423A-8B4F-A1009F28F6C9}</c15:txfldGUID>
                      <c15:f>Risikomgmt!$B$12</c15:f>
                      <c15:dlblFieldTableCache>
                        <c:ptCount val="1"/>
                        <c:pt idx="0">
                          <c:v>R8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413A-454D-BA81-9BE40A970966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strRef>
                  <c:f>Risikomgmt!$B$13</c:f>
                  <c:strCache>
                    <c:ptCount val="1"/>
                    <c:pt idx="0">
                      <c:v>R9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{8C2DE543-5349-49A5-B4E7-96972F41D3DC}</c15:txfldGUID>
                      <c15:f>Risikomgmt!$B$13</c15:f>
                      <c15:dlblFieldTableCache>
                        <c:ptCount val="1"/>
                        <c:pt idx="0">
                          <c:v>R9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413A-454D-BA81-9BE40A970966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strRef>
                  <c:f>Risikomgmt!$B$14</c:f>
                  <c:strCache>
                    <c:ptCount val="1"/>
                    <c:pt idx="0">
                      <c:v>R10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{8AEB171B-7B44-483F-94B3-28073B6967E5}</c15:txfldGUID>
                      <c15:f>Risikomgmt!$B$14</c15:f>
                      <c15:dlblFieldTableCache>
                        <c:ptCount val="1"/>
                        <c:pt idx="0">
                          <c:v>R10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413A-454D-BA81-9BE40A970966}"/>
                </c:ext>
              </c:extLst>
            </c:dLbl>
            <c:dLbl>
              <c:idx val="10"/>
              <c:tx>
                <c:strRef>
                  <c:f>Risikomgmt!$B$15</c:f>
                  <c:strCache>
                    <c:ptCount val="1"/>
                    <c:pt idx="0">
                      <c:v>R11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{791544FA-9DBD-48A0-BA3B-CB570C6892FE}</c15:txfldGUID>
                      <c15:f>Risikomgmt!$B$15</c15:f>
                      <c15:dlblFieldTableCache>
                        <c:ptCount val="1"/>
                        <c:pt idx="0">
                          <c:v>R11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5-413A-454D-BA81-9BE40A970966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strRef>
                  <c:f>Risikomgmt!$B$16</c:f>
                  <c:strCache>
                    <c:ptCount val="1"/>
                    <c:pt idx="0">
                      <c:v>R12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{A78D769D-8049-48D6-BB79-917EF1826280}</c15:txfldGUID>
                      <c15:f>Risikomgmt!$B$16</c15:f>
                      <c15:dlblFieldTableCache>
                        <c:ptCount val="1"/>
                        <c:pt idx="0">
                          <c:v>R12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7-413A-454D-BA81-9BE40A970966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strRef>
                  <c:f>Risikomgmt!$B$17</c:f>
                  <c:strCache>
                    <c:ptCount val="1"/>
                    <c:pt idx="0">
                      <c:v>R13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{6D837120-CC2E-4BAA-BDFB-4C417B625481}</c15:txfldGUID>
                      <c15:f>Risikomgmt!$B$17</c15:f>
                      <c15:dlblFieldTableCache>
                        <c:ptCount val="1"/>
                        <c:pt idx="0">
                          <c:v>R13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9-413A-454D-BA81-9BE40A970966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strRef>
                  <c:f>Risikomgmt!$B$18</c:f>
                  <c:strCache>
                    <c:ptCount val="1"/>
                    <c:pt idx="0">
                      <c:v>R14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{CA04B3B0-4D1B-4B88-B099-60C019F0FA80}</c15:txfldGUID>
                      <c15:f>Risikomgmt!$B$18</c15:f>
                      <c15:dlblFieldTableCache>
                        <c:ptCount val="1"/>
                        <c:pt idx="0">
                          <c:v>R14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B-413A-454D-BA81-9BE40A970966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strRef>
                  <c:f>Risikomgmt!$B$19</c:f>
                  <c:strCache>
                    <c:ptCount val="1"/>
                    <c:pt idx="0">
                      <c:v>R15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{2A183269-C203-4DB1-B0A7-F83EAD42E312}</c15:txfldGUID>
                      <c15:f>Risikomgmt!$B$19</c15:f>
                      <c15:dlblFieldTableCache>
                        <c:ptCount val="1"/>
                        <c:pt idx="0">
                          <c:v>R15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D-413A-454D-BA81-9BE40A970966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Risikomgmt!$D$5:$D$19</c:f>
              <c:numCache>
                <c:formatCode>0</c:formatCode>
                <c:ptCount val="15"/>
                <c:pt idx="0">
                  <c:v>3</c:v>
                </c:pt>
                <c:pt idx="1">
                  <c:v>8</c:v>
                </c:pt>
              </c:numCache>
            </c:numRef>
          </c:xVal>
          <c:yVal>
            <c:numRef>
              <c:f>Risikomgmt!$E$5:$E$19</c:f>
              <c:numCache>
                <c:formatCode>0</c:formatCode>
                <c:ptCount val="15"/>
                <c:pt idx="0">
                  <c:v>9</c:v>
                </c:pt>
                <c:pt idx="1">
                  <c:v>10</c:v>
                </c:pt>
              </c:numCache>
            </c:numRef>
          </c:yVal>
          <c:bubbleSize>
            <c:numRef>
              <c:f>Risikomgmt!$J$5:$J$19</c:f>
              <c:numCache>
                <c:formatCode>0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E-413A-454D-BA81-9BE40A9709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794065664"/>
        <c:axId val="1794085248"/>
      </c:bubbleChart>
      <c:valAx>
        <c:axId val="1794065664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1794085248"/>
        <c:crosses val="autoZero"/>
        <c:crossBetween val="midCat"/>
        <c:majorUnit val="1"/>
        <c:minorUnit val="0.1"/>
      </c:valAx>
      <c:valAx>
        <c:axId val="1794085248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179406566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>
              <a:solidFill>
                <a:schemeClr val="accent2">
                  <a:lumMod val="40000"/>
                  <a:lumOff val="60000"/>
                </a:schemeClr>
              </a:solidFill>
            </a:ln>
          </c:spPr>
          <c:marker>
            <c:symbol val="circle"/>
            <c:size val="9"/>
            <c:spPr>
              <a:solidFill>
                <a:srgbClr val="FF0000"/>
              </a:solidFill>
            </c:spPr>
          </c:marker>
          <c:val>
            <c:numRef>
              <c:f>Benchmark!$E$5:$E$34</c:f>
              <c:numCache>
                <c:formatCode>General</c:formatCode>
                <c:ptCount val="30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-1</c:v>
                </c:pt>
                <c:pt idx="4">
                  <c:v>-3</c:v>
                </c:pt>
                <c:pt idx="5">
                  <c:v>1</c:v>
                </c:pt>
                <c:pt idx="6">
                  <c:v>-3</c:v>
                </c:pt>
                <c:pt idx="7">
                  <c:v>3</c:v>
                </c:pt>
                <c:pt idx="8">
                  <c:v>1</c:v>
                </c:pt>
                <c:pt idx="9">
                  <c:v>-1</c:v>
                </c:pt>
                <c:pt idx="10">
                  <c:v>2</c:v>
                </c:pt>
                <c:pt idx="11">
                  <c:v>-1</c:v>
                </c:pt>
                <c:pt idx="12">
                  <c:v>0</c:v>
                </c:pt>
                <c:pt idx="13">
                  <c:v>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16-4ABB-BBB8-9BC626D5CBE2}"/>
            </c:ext>
          </c:extLst>
        </c:ser>
        <c:ser>
          <c:idx val="1"/>
          <c:order val="1"/>
          <c:spPr>
            <a:ln w="22225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diamond"/>
            <c:size val="8"/>
            <c:spPr>
              <a:solidFill>
                <a:schemeClr val="tx2"/>
              </a:solidFill>
              <a:ln>
                <a:noFill/>
              </a:ln>
            </c:spPr>
          </c:marker>
          <c:val>
            <c:numRef>
              <c:f>Benchmark!$F$5:$F$34</c:f>
              <c:numCache>
                <c:formatCode>General</c:formatCode>
                <c:ptCount val="30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16-4ABB-BBB8-9BC626D5CB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4066752"/>
        <c:axId val="1794092320"/>
      </c:lineChart>
      <c:catAx>
        <c:axId val="1794066752"/>
        <c:scaling>
          <c:orientation val="minMax"/>
        </c:scaling>
        <c:delete val="1"/>
        <c:axPos val="b"/>
        <c:majorTickMark val="none"/>
        <c:minorTickMark val="none"/>
        <c:tickLblPos val="nextTo"/>
        <c:crossAx val="1794092320"/>
        <c:crosses val="max"/>
        <c:auto val="1"/>
        <c:lblAlgn val="ctr"/>
        <c:lblOffset val="100"/>
        <c:noMultiLvlLbl val="0"/>
      </c:catAx>
      <c:valAx>
        <c:axId val="1794092320"/>
        <c:scaling>
          <c:orientation val="maxMin"/>
          <c:max val="3"/>
          <c:min val="-3"/>
        </c:scaling>
        <c:delete val="0"/>
        <c:axPos val="l"/>
        <c:majorGridlines>
          <c:spPr>
            <a:ln>
              <a:solidFill>
                <a:schemeClr val="accent1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1200" b="1"/>
            </a:pPr>
            <a:endParaRPr lang="fr-FR"/>
          </a:p>
        </c:txPr>
        <c:crossAx val="1794066752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493797177062777E-2"/>
          <c:y val="9.4893660531241791E-2"/>
          <c:w val="0.83053562479904297"/>
          <c:h val="0.674909426824440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Reklamationen!$B$29:$B$48</c:f>
              <c:strCache>
                <c:ptCount val="20"/>
                <c:pt idx="0">
                  <c:v>Reklamation 18</c:v>
                </c:pt>
                <c:pt idx="1">
                  <c:v>Reklamation 8</c:v>
                </c:pt>
                <c:pt idx="2">
                  <c:v>Reklamation 17</c:v>
                </c:pt>
                <c:pt idx="3">
                  <c:v>Reklamation 15</c:v>
                </c:pt>
                <c:pt idx="4">
                  <c:v>Reklamation 1</c:v>
                </c:pt>
                <c:pt idx="5">
                  <c:v>Reklamation 6</c:v>
                </c:pt>
                <c:pt idx="6">
                  <c:v>Reklamation 13</c:v>
                </c:pt>
                <c:pt idx="7">
                  <c:v>Reklamation 11</c:v>
                </c:pt>
                <c:pt idx="8">
                  <c:v>Reklamation 12</c:v>
                </c:pt>
                <c:pt idx="9">
                  <c:v>Reklamation 3</c:v>
                </c:pt>
                <c:pt idx="10">
                  <c:v>Reklamation 10</c:v>
                </c:pt>
                <c:pt idx="11">
                  <c:v>Reklamation 9</c:v>
                </c:pt>
                <c:pt idx="12">
                  <c:v>Reklamation 5</c:v>
                </c:pt>
                <c:pt idx="13">
                  <c:v>Reklamation 7</c:v>
                </c:pt>
                <c:pt idx="14">
                  <c:v>Reklamation 4</c:v>
                </c:pt>
                <c:pt idx="15">
                  <c:v>Reklamation 19</c:v>
                </c:pt>
                <c:pt idx="16">
                  <c:v>Reklamation 14</c:v>
                </c:pt>
                <c:pt idx="17">
                  <c:v>Reklamation 20</c:v>
                </c:pt>
                <c:pt idx="18">
                  <c:v>Reklamation 2</c:v>
                </c:pt>
                <c:pt idx="19">
                  <c:v>Reklamation 16</c:v>
                </c:pt>
              </c:strCache>
            </c:strRef>
          </c:cat>
          <c:val>
            <c:numRef>
              <c:f>Reklamationen!$C$29:$C$48</c:f>
              <c:numCache>
                <c:formatCode>General</c:formatCode>
                <c:ptCount val="20"/>
                <c:pt idx="0">
                  <c:v>86</c:v>
                </c:pt>
                <c:pt idx="1">
                  <c:v>80</c:v>
                </c:pt>
                <c:pt idx="2">
                  <c:v>55</c:v>
                </c:pt>
                <c:pt idx="3">
                  <c:v>45</c:v>
                </c:pt>
                <c:pt idx="4">
                  <c:v>15</c:v>
                </c:pt>
                <c:pt idx="5">
                  <c:v>15</c:v>
                </c:pt>
                <c:pt idx="6">
                  <c:v>13</c:v>
                </c:pt>
                <c:pt idx="7">
                  <c:v>12</c:v>
                </c:pt>
                <c:pt idx="8">
                  <c:v>12</c:v>
                </c:pt>
                <c:pt idx="9">
                  <c:v>10</c:v>
                </c:pt>
                <c:pt idx="10">
                  <c:v>10</c:v>
                </c:pt>
                <c:pt idx="11">
                  <c:v>9</c:v>
                </c:pt>
                <c:pt idx="12">
                  <c:v>7</c:v>
                </c:pt>
                <c:pt idx="13">
                  <c:v>7</c:v>
                </c:pt>
                <c:pt idx="14">
                  <c:v>5</c:v>
                </c:pt>
                <c:pt idx="15">
                  <c:v>5</c:v>
                </c:pt>
                <c:pt idx="16">
                  <c:v>3</c:v>
                </c:pt>
                <c:pt idx="17">
                  <c:v>3</c:v>
                </c:pt>
                <c:pt idx="18">
                  <c:v>2</c:v>
                </c:pt>
                <c:pt idx="1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92-4617-8814-2EDEC020A1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4078176"/>
        <c:axId val="1794085792"/>
      </c:barChart>
      <c:lineChart>
        <c:grouping val="standard"/>
        <c:varyColors val="0"/>
        <c:ser>
          <c:idx val="1"/>
          <c:order val="1"/>
          <c:tx>
            <c:strRef>
              <c:f>Reklamationen!$E$28</c:f>
              <c:strCache>
                <c:ptCount val="1"/>
                <c:pt idx="0">
                  <c:v>Percentage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Reklamationen!$E$29:$E$48</c:f>
              <c:numCache>
                <c:formatCode>0%</c:formatCode>
                <c:ptCount val="20"/>
                <c:pt idx="0">
                  <c:v>0.21717171717171718</c:v>
                </c:pt>
                <c:pt idx="1">
                  <c:v>0.41919191919191923</c:v>
                </c:pt>
                <c:pt idx="2">
                  <c:v>0.55808080808080818</c:v>
                </c:pt>
                <c:pt idx="3">
                  <c:v>0.67171717171717182</c:v>
                </c:pt>
                <c:pt idx="4">
                  <c:v>0.70959595959595967</c:v>
                </c:pt>
                <c:pt idx="5">
                  <c:v>0.74747474747474751</c:v>
                </c:pt>
                <c:pt idx="6">
                  <c:v>0.78030303030303039</c:v>
                </c:pt>
                <c:pt idx="7">
                  <c:v>0.81060606060606066</c:v>
                </c:pt>
                <c:pt idx="8">
                  <c:v>0.84090909090909094</c:v>
                </c:pt>
                <c:pt idx="9">
                  <c:v>0.86616161616161624</c:v>
                </c:pt>
                <c:pt idx="10">
                  <c:v>0.89141414141414155</c:v>
                </c:pt>
                <c:pt idx="11">
                  <c:v>0.91414141414141425</c:v>
                </c:pt>
                <c:pt idx="12">
                  <c:v>0.93181818181818188</c:v>
                </c:pt>
                <c:pt idx="13">
                  <c:v>0.9494949494949495</c:v>
                </c:pt>
                <c:pt idx="14">
                  <c:v>0.96212121212121215</c:v>
                </c:pt>
                <c:pt idx="15">
                  <c:v>0.97474747474747481</c:v>
                </c:pt>
                <c:pt idx="16">
                  <c:v>0.98232323232323238</c:v>
                </c:pt>
                <c:pt idx="17">
                  <c:v>0.98989898989898994</c:v>
                </c:pt>
                <c:pt idx="18">
                  <c:v>0.99494949494949503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92-4617-8814-2EDEC020A1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4081440"/>
        <c:axId val="1794091776"/>
      </c:lineChart>
      <c:catAx>
        <c:axId val="1794078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408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4085792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4078176"/>
        <c:crosses val="autoZero"/>
        <c:crossBetween val="between"/>
      </c:valAx>
      <c:catAx>
        <c:axId val="1794081440"/>
        <c:scaling>
          <c:orientation val="minMax"/>
        </c:scaling>
        <c:delete val="1"/>
        <c:axPos val="b"/>
        <c:majorTickMark val="none"/>
        <c:minorTickMark val="none"/>
        <c:tickLblPos val="nextTo"/>
        <c:crossAx val="1794091776"/>
        <c:crosses val="autoZero"/>
        <c:auto val="1"/>
        <c:lblAlgn val="ctr"/>
        <c:lblOffset val="100"/>
        <c:noMultiLvlLbl val="0"/>
      </c:catAx>
      <c:valAx>
        <c:axId val="1794091776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408144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 verticalDpi="12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493797177062777E-2"/>
          <c:y val="9.4893660531241791E-2"/>
          <c:w val="0.83053562479904297"/>
          <c:h val="0.674909426824440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Fehler!$B$29:$B$48</c:f>
              <c:strCache>
                <c:ptCount val="19"/>
                <c:pt idx="0">
                  <c:v>Error 18</c:v>
                </c:pt>
                <c:pt idx="1">
                  <c:v>Error 8</c:v>
                </c:pt>
                <c:pt idx="2">
                  <c:v>Error 17</c:v>
                </c:pt>
                <c:pt idx="3">
                  <c:v>Error 15</c:v>
                </c:pt>
                <c:pt idx="4">
                  <c:v>Error 1</c:v>
                </c:pt>
                <c:pt idx="5">
                  <c:v>Error 6</c:v>
                </c:pt>
                <c:pt idx="6">
                  <c:v>Error 13</c:v>
                </c:pt>
                <c:pt idx="7">
                  <c:v>Error 11</c:v>
                </c:pt>
                <c:pt idx="8">
                  <c:v>Error 12</c:v>
                </c:pt>
                <c:pt idx="9">
                  <c:v>Error 3</c:v>
                </c:pt>
                <c:pt idx="10">
                  <c:v>Error 10</c:v>
                </c:pt>
                <c:pt idx="11">
                  <c:v>Error 9</c:v>
                </c:pt>
                <c:pt idx="12">
                  <c:v>Error 5</c:v>
                </c:pt>
                <c:pt idx="13">
                  <c:v>Error 7</c:v>
                </c:pt>
                <c:pt idx="14">
                  <c:v>Error 4</c:v>
                </c:pt>
                <c:pt idx="15">
                  <c:v>Error 19</c:v>
                </c:pt>
                <c:pt idx="16">
                  <c:v>Error 14</c:v>
                </c:pt>
                <c:pt idx="17">
                  <c:v>Error 2</c:v>
                </c:pt>
                <c:pt idx="18">
                  <c:v>Error 16</c:v>
                </c:pt>
              </c:strCache>
            </c:strRef>
          </c:cat>
          <c:val>
            <c:numRef>
              <c:f>Fehler!$C$29:$C$48</c:f>
              <c:numCache>
                <c:formatCode>General</c:formatCode>
                <c:ptCount val="20"/>
                <c:pt idx="0">
                  <c:v>86</c:v>
                </c:pt>
                <c:pt idx="1">
                  <c:v>80</c:v>
                </c:pt>
                <c:pt idx="2">
                  <c:v>55</c:v>
                </c:pt>
                <c:pt idx="3">
                  <c:v>45</c:v>
                </c:pt>
                <c:pt idx="4">
                  <c:v>15</c:v>
                </c:pt>
                <c:pt idx="5">
                  <c:v>15</c:v>
                </c:pt>
                <c:pt idx="6">
                  <c:v>13</c:v>
                </c:pt>
                <c:pt idx="7">
                  <c:v>12</c:v>
                </c:pt>
                <c:pt idx="8">
                  <c:v>12</c:v>
                </c:pt>
                <c:pt idx="9">
                  <c:v>10</c:v>
                </c:pt>
                <c:pt idx="10">
                  <c:v>10</c:v>
                </c:pt>
                <c:pt idx="11">
                  <c:v>9</c:v>
                </c:pt>
                <c:pt idx="12">
                  <c:v>7</c:v>
                </c:pt>
                <c:pt idx="13">
                  <c:v>7</c:v>
                </c:pt>
                <c:pt idx="14">
                  <c:v>5</c:v>
                </c:pt>
                <c:pt idx="15">
                  <c:v>5</c:v>
                </c:pt>
                <c:pt idx="16">
                  <c:v>3</c:v>
                </c:pt>
                <c:pt idx="17">
                  <c:v>2</c:v>
                </c:pt>
                <c:pt idx="18">
                  <c:v>2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BE-47F1-8352-5BB54DD40D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4087968"/>
        <c:axId val="1794072736"/>
      </c:barChart>
      <c:lineChart>
        <c:grouping val="standard"/>
        <c:varyColors val="0"/>
        <c:ser>
          <c:idx val="1"/>
          <c:order val="1"/>
          <c:tx>
            <c:strRef>
              <c:f>Fehler!$E$28</c:f>
              <c:strCache>
                <c:ptCount val="1"/>
                <c:pt idx="0">
                  <c:v>Percentage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Fehler!$E$29:$E$48</c:f>
              <c:numCache>
                <c:formatCode>0%</c:formatCode>
                <c:ptCount val="20"/>
                <c:pt idx="0">
                  <c:v>0.21882951653944022</c:v>
                </c:pt>
                <c:pt idx="1">
                  <c:v>0.42239185750636132</c:v>
                </c:pt>
                <c:pt idx="2">
                  <c:v>0.56234096692111957</c:v>
                </c:pt>
                <c:pt idx="3">
                  <c:v>0.67684478371501267</c:v>
                </c:pt>
                <c:pt idx="4">
                  <c:v>0.71501272264631033</c:v>
                </c:pt>
                <c:pt idx="5">
                  <c:v>0.75318066157760799</c:v>
                </c:pt>
                <c:pt idx="6">
                  <c:v>0.78625954198473269</c:v>
                </c:pt>
                <c:pt idx="7">
                  <c:v>0.81679389312977091</c:v>
                </c:pt>
                <c:pt idx="8">
                  <c:v>0.84732824427480913</c:v>
                </c:pt>
                <c:pt idx="9">
                  <c:v>0.87277353689567427</c:v>
                </c:pt>
                <c:pt idx="10">
                  <c:v>0.89821882951653942</c:v>
                </c:pt>
                <c:pt idx="11">
                  <c:v>0.92111959287531808</c:v>
                </c:pt>
                <c:pt idx="12">
                  <c:v>0.93893129770992367</c:v>
                </c:pt>
                <c:pt idx="13">
                  <c:v>0.95674300254452926</c:v>
                </c:pt>
                <c:pt idx="14">
                  <c:v>0.96946564885496178</c:v>
                </c:pt>
                <c:pt idx="15">
                  <c:v>0.9821882951653943</c:v>
                </c:pt>
                <c:pt idx="16">
                  <c:v>0.98982188295165385</c:v>
                </c:pt>
                <c:pt idx="17">
                  <c:v>0.99491094147582693</c:v>
                </c:pt>
                <c:pt idx="18">
                  <c:v>1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BE-47F1-8352-5BB54DD40D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4065120"/>
        <c:axId val="1794087424"/>
      </c:lineChart>
      <c:catAx>
        <c:axId val="179408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407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4072736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4087968"/>
        <c:crosses val="autoZero"/>
        <c:crossBetween val="between"/>
      </c:valAx>
      <c:catAx>
        <c:axId val="1794065120"/>
        <c:scaling>
          <c:orientation val="minMax"/>
        </c:scaling>
        <c:delete val="1"/>
        <c:axPos val="b"/>
        <c:majorTickMark val="none"/>
        <c:minorTickMark val="none"/>
        <c:tickLblPos val="nextTo"/>
        <c:crossAx val="1794087424"/>
        <c:crosses val="autoZero"/>
        <c:auto val="1"/>
        <c:lblAlgn val="ctr"/>
        <c:lblOffset val="100"/>
        <c:noMultiLvlLbl val="0"/>
      </c:catAx>
      <c:valAx>
        <c:axId val="1794087424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406512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 verticalDpi="12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988473156183941E-2"/>
          <c:y val="1.8661835657191927E-2"/>
          <c:w val="0.8940788423344892"/>
          <c:h val="0.93655514293398667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0DF8-4F76-923D-9033102B690F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0DF8-4F76-923D-9033102B690F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0DF8-4F76-923D-9033102B690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0DF8-4F76-923D-9033102B690F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0DF8-4F76-923D-9033102B690F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0DF8-4F76-923D-9033102B690F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0DF8-4F76-923D-9033102B690F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0DF8-4F76-923D-9033102B690F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0DF8-4F76-923D-9033102B690F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0DF8-4F76-923D-9033102B690F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0DF8-4F76-923D-9033102B690F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0DF8-4F76-923D-9033102B690F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0DF8-4F76-923D-9033102B690F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0DF8-4F76-923D-9033102B690F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0DF8-4F76-923D-9033102B690F}"/>
              </c:ext>
            </c:extLst>
          </c:dPt>
          <c:dLbls>
            <c:dLbl>
              <c:idx val="0"/>
              <c:layout>
                <c:manualLayout>
                  <c:x val="-0.12115817547764009"/>
                  <c:y val="0"/>
                </c:manualLayout>
              </c:layout>
              <c:tx>
                <c:strRef>
                  <c:f>Eisenhower!$B$5</c:f>
                  <c:strCache>
                    <c:ptCount val="1"/>
                    <c:pt idx="0">
                      <c:v>a1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{1C4645C0-2AE2-4F0F-B1D7-6A393E37B234}</c15:txfldGUID>
                      <c15:f>Eisenhower!$B$5</c15:f>
                      <c15:dlblFieldTableCache>
                        <c:ptCount val="1"/>
                        <c:pt idx="0">
                          <c:v>a1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0DF8-4F76-923D-9033102B690F}"/>
                </c:ext>
              </c:extLst>
            </c:dLbl>
            <c:dLbl>
              <c:idx val="1"/>
              <c:layout>
                <c:manualLayout>
                  <c:x val="-0.1154842611424285"/>
                  <c:y val="0"/>
                </c:manualLayout>
              </c:layout>
              <c:tx>
                <c:strRef>
                  <c:f>Eisenhower!$B$6</c:f>
                  <c:strCache>
                    <c:ptCount val="1"/>
                    <c:pt idx="0">
                      <c:v>a2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{E4CD46B5-4D86-4B92-8835-5C1491CA23C2}</c15:txfldGUID>
                      <c15:f>Eisenhower!$B$6</c15:f>
                      <c15:dlblFieldTableCache>
                        <c:ptCount val="1"/>
                        <c:pt idx="0">
                          <c:v>a2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0DF8-4F76-923D-9033102B690F}"/>
                </c:ext>
              </c:extLst>
            </c:dLbl>
            <c:dLbl>
              <c:idx val="2"/>
              <c:layout>
                <c:manualLayout>
                  <c:x val="-0.13897813845274293"/>
                  <c:y val="1.0499622265317761E-2"/>
                </c:manualLayout>
              </c:layout>
              <c:tx>
                <c:strRef>
                  <c:f>Eisenhower!$B$7</c:f>
                  <c:strCache>
                    <c:ptCount val="1"/>
                    <c:pt idx="0">
                      <c:v>a3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{F03A25BC-6698-4347-BCEC-745005EBCB87}</c15:txfldGUID>
                      <c15:f>Eisenhower!$B$7</c15:f>
                      <c15:dlblFieldTableCache>
                        <c:ptCount val="1"/>
                        <c:pt idx="0">
                          <c:v>a3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0DF8-4F76-923D-9033102B690F}"/>
                </c:ext>
              </c:extLst>
            </c:dLbl>
            <c:dLbl>
              <c:idx val="3"/>
              <c:layout>
                <c:manualLayout>
                  <c:x val="-9.0939443846193138E-2"/>
                  <c:y val="-2.5517730165035011E-3"/>
                </c:manualLayout>
              </c:layout>
              <c:tx>
                <c:strRef>
                  <c:f>Eisenhower!$B$8</c:f>
                  <c:strCache>
                    <c:ptCount val="1"/>
                    <c:pt idx="0">
                      <c:v>a4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{7E254428-402E-4380-AE78-583F71AFF542}</c15:txfldGUID>
                      <c15:f>Eisenhower!$B$8</c15:f>
                      <c15:dlblFieldTableCache>
                        <c:ptCount val="1"/>
                        <c:pt idx="0">
                          <c:v>a4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0DF8-4F76-923D-9033102B690F}"/>
                </c:ext>
              </c:extLst>
            </c:dLbl>
            <c:dLbl>
              <c:idx val="4"/>
              <c:layout>
                <c:manualLayout>
                  <c:x val="-0.12287509302017695"/>
                  <c:y val="1.3952662445384238E-2"/>
                </c:manualLayout>
              </c:layout>
              <c:tx>
                <c:strRef>
                  <c:f>Eisenhower!$B$9</c:f>
                  <c:strCache>
                    <c:ptCount val="1"/>
                    <c:pt idx="0">
                      <c:v>a5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{D62F11B3-9E8E-4E9F-ABAC-A4ACFBC281E0}</c15:txfldGUID>
                      <c15:f>Eisenhower!$B$9</c15:f>
                      <c15:dlblFieldTableCache>
                        <c:ptCount val="1"/>
                        <c:pt idx="0">
                          <c:v>a5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0DF8-4F76-923D-9033102B690F}"/>
                </c:ext>
              </c:extLst>
            </c:dLbl>
            <c:dLbl>
              <c:idx val="5"/>
              <c:layout>
                <c:manualLayout>
                  <c:x val="-0.14533772694471586"/>
                  <c:y val="1.4749262536873156E-2"/>
                </c:manualLayout>
              </c:layout>
              <c:tx>
                <c:strRef>
                  <c:f>Eisenhower!$B$10</c:f>
                  <c:strCache>
                    <c:ptCount val="1"/>
                    <c:pt idx="0">
                      <c:v>a6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{4C210197-E055-42D7-8B8D-B90B55886DB3}</c15:txfldGUID>
                      <c15:f>Eisenhower!$B$10</c15:f>
                      <c15:dlblFieldTableCache>
                        <c:ptCount val="1"/>
                        <c:pt idx="0">
                          <c:v>a6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0DF8-4F76-923D-9033102B690F}"/>
                </c:ext>
              </c:extLst>
            </c:dLbl>
            <c:dLbl>
              <c:idx val="6"/>
              <c:tx>
                <c:strRef>
                  <c:f>Eisenhower!$B$11</c:f>
                  <c:strCache>
                    <c:ptCount val="1"/>
                    <c:pt idx="0">
                      <c:v>a7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{E517AC42-3F3E-407D-B480-A4677E1C6DAA}</c15:txfldGUID>
                      <c15:f>Eisenhower!$B$11</c15:f>
                      <c15:dlblFieldTableCache>
                        <c:ptCount val="1"/>
                        <c:pt idx="0">
                          <c:v>a7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0DF8-4F76-923D-9033102B690F}"/>
                </c:ext>
              </c:extLst>
            </c:dLbl>
            <c:dLbl>
              <c:idx val="7"/>
              <c:layout>
                <c:manualLayout>
                  <c:x val="-0.19249918577696037"/>
                  <c:y val="-8.8495575221238937E-3"/>
                </c:manualLayout>
              </c:layout>
              <c:tx>
                <c:strRef>
                  <c:f>Eisenhower!$B$12</c:f>
                  <c:strCache>
                    <c:ptCount val="1"/>
                    <c:pt idx="0">
                      <c:v>a8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{D7F898BE-F441-41B6-AE3B-AA0EF4D9B4F7}</c15:txfldGUID>
                      <c15:f>Eisenhower!$B$12</c15:f>
                      <c15:dlblFieldTableCache>
                        <c:ptCount val="1"/>
                        <c:pt idx="0">
                          <c:v>a8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0DF8-4F76-923D-9033102B690F}"/>
                </c:ext>
              </c:extLst>
            </c:dLbl>
            <c:dLbl>
              <c:idx val="8"/>
              <c:layout>
                <c:manualLayout>
                  <c:x val="-0.13391584527697264"/>
                  <c:y val="2.9148656121248937E-3"/>
                </c:manualLayout>
              </c:layout>
              <c:tx>
                <c:strRef>
                  <c:f>Eisenhower!$B$13</c:f>
                  <c:strCache>
                    <c:ptCount val="1"/>
                    <c:pt idx="0">
                      <c:v>a9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{008ACA85-5C33-47E1-83EA-3DDB286C9561}</c15:txfldGUID>
                      <c15:f>Eisenhower!$B$13</c15:f>
                      <c15:dlblFieldTableCache>
                        <c:ptCount val="1"/>
                        <c:pt idx="0">
                          <c:v>a9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0DF8-4F76-923D-9033102B690F}"/>
                </c:ext>
              </c:extLst>
            </c:dLbl>
            <c:dLbl>
              <c:idx val="9"/>
              <c:layout>
                <c:manualLayout>
                  <c:x val="-0.14014687545281485"/>
                  <c:y val="-1.1869436201780416E-2"/>
                </c:manualLayout>
              </c:layout>
              <c:tx>
                <c:strRef>
                  <c:f>Eisenhower!$B$14</c:f>
                  <c:strCache>
                    <c:ptCount val="1"/>
                    <c:pt idx="0">
                      <c:v>a10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{D1C5F241-8165-4E35-B08A-AB7309276FD5}</c15:txfldGUID>
                      <c15:f>Eisenhower!$B$14</c15:f>
                      <c15:dlblFieldTableCache>
                        <c:ptCount val="1"/>
                        <c:pt idx="0">
                          <c:v>a10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0DF8-4F76-923D-9033102B690F}"/>
                </c:ext>
              </c:extLst>
            </c:dLbl>
            <c:dLbl>
              <c:idx val="10"/>
              <c:layout>
                <c:manualLayout>
                  <c:x val="-0.14232276947779585"/>
                  <c:y val="2.0132869148032691E-3"/>
                </c:manualLayout>
              </c:layout>
              <c:tx>
                <c:strRef>
                  <c:f>Eisenhower!$B$15</c:f>
                  <c:strCache>
                    <c:ptCount val="1"/>
                    <c:pt idx="0">
                      <c:v>a11</c:v>
                    </c:pt>
                  </c:strCache>
                </c:strRef>
              </c:tx>
              <c:numFmt formatCode="General" sourceLinked="0"/>
              <c:spPr>
                <a:ln>
                  <a:noFill/>
                </a:ln>
              </c:spPr>
              <c:txPr>
                <a:bodyPr rot="0" anchor="ctr" anchorCtr="1"/>
                <a:lstStyle/>
                <a:p>
                  <a:pPr algn="ctr" rtl="0">
                    <a:defRPr lang="en-US" sz="18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{8AD95FEE-B792-4868-AA23-2153C6FF51DE}</c15:txfldGUID>
                      <c15:f>Eisenhower!$B$15</c15:f>
                      <c15:dlblFieldTableCache>
                        <c:ptCount val="1"/>
                        <c:pt idx="0">
                          <c:v>a11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0DF8-4F76-923D-9033102B690F}"/>
                </c:ext>
              </c:extLst>
            </c:dLbl>
            <c:dLbl>
              <c:idx val="11"/>
              <c:layout>
                <c:manualLayout>
                  <c:x val="-0.14379873181313135"/>
                  <c:y val="8.8495837130151012E-3"/>
                </c:manualLayout>
              </c:layout>
              <c:tx>
                <c:strRef>
                  <c:f>Eisenhower!$B$16</c:f>
                  <c:strCache>
                    <c:ptCount val="1"/>
                    <c:pt idx="0">
                      <c:v>a12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{50F0FE45-4865-471F-8ADF-5C3FF75FEF8E}</c15:txfldGUID>
                      <c15:f>Eisenhower!$B$16</c15:f>
                      <c15:dlblFieldTableCache>
                        <c:ptCount val="1"/>
                        <c:pt idx="0">
                          <c:v>a12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0DF8-4F76-923D-9033102B690F}"/>
                </c:ext>
              </c:extLst>
            </c:dLbl>
            <c:dLbl>
              <c:idx val="12"/>
              <c:layout>
                <c:manualLayout>
                  <c:x val="-0.15042782952225492"/>
                  <c:y val="-3.0198524887653138E-3"/>
                </c:manualLayout>
              </c:layout>
              <c:tx>
                <c:strRef>
                  <c:f>Eisenhower!$B$17</c:f>
                  <c:strCache>
                    <c:ptCount val="1"/>
                    <c:pt idx="0">
                      <c:v>a13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{539F2B39-DDAA-4CBA-B69F-5005D8F06C4F}</c15:txfldGUID>
                      <c15:f>Eisenhower!$B$17</c15:f>
                      <c15:dlblFieldTableCache>
                        <c:ptCount val="1"/>
                        <c:pt idx="0">
                          <c:v>a13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0DF8-4F76-923D-9033102B690F}"/>
                </c:ext>
              </c:extLst>
            </c:dLbl>
            <c:dLbl>
              <c:idx val="13"/>
              <c:layout>
                <c:manualLayout>
                  <c:x val="-0.12557727610711694"/>
                  <c:y val="-3.8514918572863854E-3"/>
                </c:manualLayout>
              </c:layout>
              <c:tx>
                <c:strRef>
                  <c:f>Eisenhower!$B$18</c:f>
                  <c:strCache>
                    <c:ptCount val="1"/>
                    <c:pt idx="0">
                      <c:v>a14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{BAE4AF21-50B8-4962-8CAF-79A15EA1B20D}</c15:txfldGUID>
                      <c15:f>Eisenhower!$B$18</c15:f>
                      <c15:dlblFieldTableCache>
                        <c:ptCount val="1"/>
                        <c:pt idx="0">
                          <c:v>a14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0DF8-4F76-923D-9033102B690F}"/>
                </c:ext>
              </c:extLst>
            </c:dLbl>
            <c:dLbl>
              <c:idx val="14"/>
              <c:layout>
                <c:manualLayout>
                  <c:x val="-0.13468413199758569"/>
                  <c:y val="5.8996705530503053E-3"/>
                </c:manualLayout>
              </c:layout>
              <c:tx>
                <c:strRef>
                  <c:f>Eisenhower!$B$19</c:f>
                  <c:strCache>
                    <c:ptCount val="1"/>
                    <c:pt idx="0">
                      <c:v>a15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{9108D7BB-8636-49E2-BB8A-1987B18525FA}</c15:txfldGUID>
                      <c15:f>Eisenhower!$B$19</c15:f>
                      <c15:dlblFieldTableCache>
                        <c:ptCount val="1"/>
                        <c:pt idx="0">
                          <c:v>a15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0DF8-4F76-923D-9033102B690F}"/>
                </c:ext>
              </c:extLst>
            </c:dLbl>
            <c:dLbl>
              <c:idx val="15"/>
              <c:layout>
                <c:manualLayout>
                  <c:x val="-0.15875984614012245"/>
                  <c:y val="1.9209015786973215E-2"/>
                </c:manualLayout>
              </c:layout>
              <c:tx>
                <c:strRef>
                  <c:f>Eisenhower!$B$20</c:f>
                  <c:strCache>
                    <c:ptCount val="1"/>
                    <c:pt idx="0">
                      <c:v>a16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{8B8A6902-B59F-4041-A8A3-24746A4B6483}</c15:txfldGUID>
                      <c15:f>Eisenhower!$B$20</c15:f>
                      <c15:dlblFieldTableCache>
                        <c:ptCount val="1"/>
                        <c:pt idx="0">
                          <c:v>a16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0DF8-4F76-923D-9033102B690F}"/>
                </c:ext>
              </c:extLst>
            </c:dLbl>
            <c:dLbl>
              <c:idx val="16"/>
              <c:layout>
                <c:manualLayout>
                  <c:x val="-0.13325790948870578"/>
                  <c:y val="2.9148656121248937E-3"/>
                </c:manualLayout>
              </c:layout>
              <c:tx>
                <c:strRef>
                  <c:f>Eisenhower!$B$21</c:f>
                  <c:strCache>
                    <c:ptCount val="1"/>
                    <c:pt idx="0">
                      <c:v>a17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{CE17CBAF-908F-4B80-BA43-A9969AA6FCE5}</c15:txfldGUID>
                      <c15:f>Eisenhower!$B$21</c15:f>
                      <c15:dlblFieldTableCache>
                        <c:ptCount val="1"/>
                        <c:pt idx="0">
                          <c:v>a17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0DF8-4F76-923D-9033102B690F}"/>
                </c:ext>
              </c:extLst>
            </c:dLbl>
            <c:dLbl>
              <c:idx val="17"/>
              <c:layout>
                <c:manualLayout>
                  <c:x val="-0.14763003874494207"/>
                  <c:y val="1.2806062446941907E-2"/>
                </c:manualLayout>
              </c:layout>
              <c:tx>
                <c:strRef>
                  <c:f>Eisenhower!$B$22</c:f>
                  <c:strCache>
                    <c:ptCount val="1"/>
                    <c:pt idx="0">
                      <c:v>a18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{168D61C4-1D01-4B70-B1FB-63B73F360EBC}</c15:txfldGUID>
                      <c15:f>Eisenhower!$B$22</c15:f>
                      <c15:dlblFieldTableCache>
                        <c:ptCount val="1"/>
                        <c:pt idx="0">
                          <c:v>a18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0DF8-4F76-923D-9033102B690F}"/>
                </c:ext>
              </c:extLst>
            </c:dLbl>
            <c:dLbl>
              <c:idx val="18"/>
              <c:layout>
                <c:manualLayout>
                  <c:x val="-0.14983824876495563"/>
                  <c:y val="9.9612919304967826E-3"/>
                </c:manualLayout>
              </c:layout>
              <c:tx>
                <c:strRef>
                  <c:f>Eisenhower!$B$23</c:f>
                  <c:strCache>
                    <c:ptCount val="1"/>
                    <c:pt idx="0">
                      <c:v>a19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{51648A87-A365-461E-BA93-068A51305DFF}</c15:txfldGUID>
                      <c15:f>Eisenhower!$B$23</c15:f>
                      <c15:dlblFieldTableCache>
                        <c:ptCount val="1"/>
                        <c:pt idx="0">
                          <c:v>a19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0DF8-4F76-923D-9033102B690F}"/>
                </c:ext>
              </c:extLst>
            </c:dLbl>
            <c:dLbl>
              <c:idx val="19"/>
              <c:layout>
                <c:manualLayout>
                  <c:x val="-0.14422911534144528"/>
                  <c:y val="-2.9148656121248937E-3"/>
                </c:manualLayout>
              </c:layout>
              <c:tx>
                <c:strRef>
                  <c:f>Eisenhower!$B$24</c:f>
                  <c:strCache>
                    <c:ptCount val="1"/>
                    <c:pt idx="0">
                      <c:v>a20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{C5CA5C46-3120-4DD1-98AB-3643C86C0E75}</c15:txfldGUID>
                      <c15:f>Eisenhower!$B$24</c15:f>
                      <c15:dlblFieldTableCache>
                        <c:ptCount val="1"/>
                        <c:pt idx="0">
                          <c:v>a20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0DF8-4F76-923D-9033102B690F}"/>
                </c:ext>
              </c:extLst>
            </c:dLbl>
            <c:numFmt formatCode="General" sourceLinked="0"/>
            <c:spPr>
              <a:ln>
                <a:noFill/>
              </a:ln>
            </c:spPr>
            <c:txPr>
              <a:bodyPr rot="0" anchor="ctr" anchorCtr="1"/>
              <a:lstStyle/>
              <a:p>
                <a:pPr>
                  <a:defRPr sz="18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Eisenhower!$D$5:$D$24</c:f>
              <c:numCache>
                <c:formatCode>0</c:formatCode>
                <c:ptCount val="20"/>
                <c:pt idx="0">
                  <c:v>3</c:v>
                </c:pt>
                <c:pt idx="1">
                  <c:v>10</c:v>
                </c:pt>
                <c:pt idx="2">
                  <c:v>2</c:v>
                </c:pt>
              </c:numCache>
            </c:numRef>
          </c:xVal>
          <c:yVal>
            <c:numRef>
              <c:f>Eisenhower!$E$5:$E$24</c:f>
              <c:numCache>
                <c:formatCode>0</c:formatCode>
                <c:ptCount val="20"/>
                <c:pt idx="0">
                  <c:v>7</c:v>
                </c:pt>
                <c:pt idx="1">
                  <c:v>9</c:v>
                </c:pt>
                <c:pt idx="2">
                  <c:v>2</c:v>
                </c:pt>
              </c:numCache>
            </c:numRef>
          </c:yVal>
          <c:bubbleSize>
            <c:numRef>
              <c:f>Eisenhower!$I$5:$I$24</c:f>
              <c:numCache>
                <c:formatCode>General</c:formatCode>
                <c:ptCount val="20"/>
                <c:pt idx="0">
                  <c:v>2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0DF8-4F76-923D-9033102B69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794074912"/>
        <c:axId val="1794066208"/>
      </c:bubbleChart>
      <c:valAx>
        <c:axId val="1794074912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1794066208"/>
        <c:crosses val="autoZero"/>
        <c:crossBetween val="midCat"/>
        <c:majorUnit val="1"/>
        <c:minorUnit val="0.1"/>
      </c:valAx>
      <c:valAx>
        <c:axId val="1794066208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179407491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5875">
              <a:solidFill>
                <a:schemeClr val="accent1">
                  <a:lumMod val="60000"/>
                  <a:lumOff val="40000"/>
                </a:schemeClr>
              </a:solidFill>
            </a:ln>
          </c:spPr>
          <c:marker>
            <c:symbol val="circle"/>
            <c:size val="12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chemeClr val="accent1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'Swot-Analyse'!$D$6:$D$23</c:f>
              <c:numCache>
                <c:formatCode>0</c:formatCode>
                <c:ptCount val="18"/>
                <c:pt idx="0">
                  <c:v>5</c:v>
                </c:pt>
                <c:pt idx="1">
                  <c:v>3</c:v>
                </c:pt>
                <c:pt idx="2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A0-4035-AF3A-B5D627C95D91}"/>
            </c:ext>
          </c:extLst>
        </c:ser>
        <c:ser>
          <c:idx val="1"/>
          <c:order val="1"/>
          <c:spPr>
            <a:ln w="15875">
              <a:solidFill>
                <a:schemeClr val="accent6">
                  <a:lumMod val="60000"/>
                  <a:lumOff val="40000"/>
                </a:schemeClr>
              </a:solidFill>
            </a:ln>
          </c:spPr>
          <c:marker>
            <c:symbol val="square"/>
            <c:size val="11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'Swot-Analyse'!$H$6:$H$23</c:f>
              <c:numCache>
                <c:formatCode>0</c:formatCode>
                <c:ptCount val="18"/>
                <c:pt idx="0">
                  <c:v>-5</c:v>
                </c:pt>
                <c:pt idx="1">
                  <c:v>-4</c:v>
                </c:pt>
                <c:pt idx="2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A0-4035-AF3A-B5D627C95D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4076000"/>
        <c:axId val="1794068384"/>
      </c:lineChart>
      <c:catAx>
        <c:axId val="1794076000"/>
        <c:scaling>
          <c:orientation val="minMax"/>
        </c:scaling>
        <c:delete val="1"/>
        <c:axPos val="b"/>
        <c:majorTickMark val="none"/>
        <c:minorTickMark val="none"/>
        <c:tickLblPos val="nextTo"/>
        <c:crossAx val="1794068384"/>
        <c:crosses val="max"/>
        <c:auto val="1"/>
        <c:lblAlgn val="ctr"/>
        <c:lblOffset val="100"/>
        <c:noMultiLvlLbl val="0"/>
      </c:catAx>
      <c:valAx>
        <c:axId val="1794068384"/>
        <c:scaling>
          <c:orientation val="maxMin"/>
          <c:max val="5"/>
          <c:min val="-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900" b="0"/>
            </a:pPr>
            <a:endParaRPr lang="fr-FR"/>
          </a:p>
        </c:txPr>
        <c:crossAx val="1794076000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spPr>
    <a:ln w="3175">
      <a:solidFill>
        <a:schemeClr val="bg1">
          <a:lumMod val="85000"/>
        </a:schemeClr>
      </a:solidFill>
    </a:ln>
  </c:sp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5875">
              <a:solidFill>
                <a:schemeClr val="accent2">
                  <a:lumMod val="40000"/>
                  <a:lumOff val="60000"/>
                </a:schemeClr>
              </a:solidFill>
            </a:ln>
          </c:spPr>
          <c:marker>
            <c:symbol val="circle"/>
            <c:size val="12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rgbClr val="C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'Swot-Analyse'!$D$25:$D$42</c:f>
              <c:numCache>
                <c:formatCode>0</c:formatCode>
                <c:ptCount val="18"/>
                <c:pt idx="0">
                  <c:v>5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90-435D-90C9-8F2DB36F43E6}"/>
            </c:ext>
          </c:extLst>
        </c:ser>
        <c:ser>
          <c:idx val="1"/>
          <c:order val="1"/>
          <c:spPr>
            <a:ln w="15875"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11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chemeClr val="accent4">
                        <a:lumMod val="75000"/>
                      </a:schemeClr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'Swot-Analyse'!$H$25:$H$42</c:f>
              <c:numCache>
                <c:formatCode>0</c:formatCode>
                <c:ptCount val="18"/>
                <c:pt idx="0">
                  <c:v>-2</c:v>
                </c:pt>
                <c:pt idx="1">
                  <c:v>-4</c:v>
                </c:pt>
                <c:pt idx="2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90-435D-90C9-8F2DB36F43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4077632"/>
        <c:axId val="1794061856"/>
      </c:lineChart>
      <c:catAx>
        <c:axId val="1794077632"/>
        <c:scaling>
          <c:orientation val="minMax"/>
        </c:scaling>
        <c:delete val="1"/>
        <c:axPos val="b"/>
        <c:majorTickMark val="none"/>
        <c:minorTickMark val="none"/>
        <c:tickLblPos val="nextTo"/>
        <c:crossAx val="1794061856"/>
        <c:crosses val="max"/>
        <c:auto val="1"/>
        <c:lblAlgn val="ctr"/>
        <c:lblOffset val="100"/>
        <c:noMultiLvlLbl val="0"/>
      </c:catAx>
      <c:valAx>
        <c:axId val="1794061856"/>
        <c:scaling>
          <c:orientation val="maxMin"/>
          <c:max val="5"/>
          <c:min val="-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900" b="0"/>
            </a:pPr>
            <a:endParaRPr lang="fr-FR"/>
          </a:p>
        </c:txPr>
        <c:crossAx val="1794077632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spPr>
    <a:ln w="3175">
      <a:solidFill>
        <a:schemeClr val="bg1">
          <a:lumMod val="85000"/>
        </a:schemeClr>
      </a:solidFill>
    </a:ln>
  </c:sp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632378399508571"/>
          <c:y val="6.7637738192824898E-2"/>
          <c:w val="0.58180025369169275"/>
          <c:h val="0.89329052189422975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cat>
            <c:strRef>
              <c:f>Trends!$C$5:$C$10</c:f>
              <c:strCache>
                <c:ptCount val="6"/>
                <c:pt idx="0">
                  <c:v>Politische Trends</c:v>
                </c:pt>
                <c:pt idx="1">
                  <c:v>Ökonomische Trends</c:v>
                </c:pt>
                <c:pt idx="2">
                  <c:v>Soziologische Trends</c:v>
                </c:pt>
                <c:pt idx="3">
                  <c:v>Technologische Trends</c:v>
                </c:pt>
                <c:pt idx="4">
                  <c:v>Ökologische Trends</c:v>
                </c:pt>
                <c:pt idx="5">
                  <c:v>Rechtliche Trends</c:v>
                </c:pt>
              </c:strCache>
            </c:strRef>
          </c:cat>
          <c:val>
            <c:numRef>
              <c:f>Trends!$D$5:$D$10</c:f>
              <c:numCache>
                <c:formatCode>0.00</c:formatCode>
                <c:ptCount val="6"/>
                <c:pt idx="0">
                  <c:v>3</c:v>
                </c:pt>
                <c:pt idx="1">
                  <c:v>0.1</c:v>
                </c:pt>
                <c:pt idx="2">
                  <c:v>1</c:v>
                </c:pt>
                <c:pt idx="3">
                  <c:v>3</c:v>
                </c:pt>
                <c:pt idx="4">
                  <c:v>0.1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DE-47E8-8676-4C53B1E548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4062400"/>
        <c:axId val="1794067840"/>
      </c:radarChart>
      <c:catAx>
        <c:axId val="1794062400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1794067840"/>
        <c:crosses val="autoZero"/>
        <c:auto val="1"/>
        <c:lblAlgn val="ctr"/>
        <c:lblOffset val="100"/>
        <c:noMultiLvlLbl val="0"/>
      </c:catAx>
      <c:valAx>
        <c:axId val="1794067840"/>
        <c:scaling>
          <c:orientation val="minMax"/>
        </c:scaling>
        <c:delete val="0"/>
        <c:axPos val="l"/>
        <c:majorGridlines/>
        <c:numFmt formatCode="0.00" sourceLinked="1"/>
        <c:majorTickMark val="cross"/>
        <c:minorTickMark val="none"/>
        <c:tickLblPos val="nextTo"/>
        <c:crossAx val="1794062400"/>
        <c:crosses val="autoZero"/>
        <c:crossBetween val="between"/>
        <c:majorUnit val="1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988473156183941E-2"/>
          <c:y val="1.8661835657191927E-2"/>
          <c:w val="0.8940788423344892"/>
          <c:h val="0.93655514293398667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B528-44AC-804E-47D23A7F91E7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B528-44AC-804E-47D23A7F91E7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B528-44AC-804E-47D23A7F91E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B528-44AC-804E-47D23A7F91E7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B528-44AC-804E-47D23A7F91E7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B528-44AC-804E-47D23A7F91E7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B528-44AC-804E-47D23A7F91E7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528-44AC-804E-47D23A7F91E7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528-44AC-804E-47D23A7F91E7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B528-44AC-804E-47D23A7F91E7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B528-44AC-804E-47D23A7F91E7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B528-44AC-804E-47D23A7F91E7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B528-44AC-804E-47D23A7F91E7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B528-44AC-804E-47D23A7F91E7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B528-44AC-804E-47D23A7F91E7}"/>
              </c:ext>
            </c:extLst>
          </c:dPt>
          <c:dLbls>
            <c:dLbl>
              <c:idx val="0"/>
              <c:layout>
                <c:manualLayout>
                  <c:x val="-0.12115817547764009"/>
                  <c:y val="0"/>
                </c:manualLayout>
              </c:layout>
              <c:tx>
                <c:strRef>
                  <c:f>Stakeholder!$B$5</c:f>
                  <c:strCache>
                    <c:ptCount val="1"/>
                    <c:pt idx="0">
                      <c:v>s1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{476A901A-3E55-4AFD-8247-D50087EC41E9}</c15:txfldGUID>
                      <c15:f>Stakeholder!$B$5</c15:f>
                      <c15:dlblFieldTableCache>
                        <c:ptCount val="1"/>
                        <c:pt idx="0">
                          <c:v>s1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B528-44AC-804E-47D23A7F91E7}"/>
                </c:ext>
              </c:extLst>
            </c:dLbl>
            <c:dLbl>
              <c:idx val="1"/>
              <c:layout>
                <c:manualLayout>
                  <c:x val="-0.1154842611424285"/>
                  <c:y val="0"/>
                </c:manualLayout>
              </c:layout>
              <c:tx>
                <c:strRef>
                  <c:f>Stakeholder!$B$6</c:f>
                  <c:strCache>
                    <c:ptCount val="1"/>
                    <c:pt idx="0">
                      <c:v>s2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{F0A24918-3AD4-4E3E-A392-B2D142442E52}</c15:txfldGUID>
                      <c15:f>Stakeholder!$B$6</c15:f>
                      <c15:dlblFieldTableCache>
                        <c:ptCount val="1"/>
                        <c:pt idx="0">
                          <c:v>s2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B528-44AC-804E-47D23A7F91E7}"/>
                </c:ext>
              </c:extLst>
            </c:dLbl>
            <c:dLbl>
              <c:idx val="2"/>
              <c:layout>
                <c:manualLayout>
                  <c:x val="-0.13897813845274293"/>
                  <c:y val="1.0499622265317761E-2"/>
                </c:manualLayout>
              </c:layout>
              <c:tx>
                <c:strRef>
                  <c:f>Stakeholder!$B$7</c:f>
                  <c:strCache>
                    <c:ptCount val="1"/>
                    <c:pt idx="0">
                      <c:v>s3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{974363DF-36D7-4262-A3F8-CC187096F678}</c15:txfldGUID>
                      <c15:f>Stakeholder!$B$7</c15:f>
                      <c15:dlblFieldTableCache>
                        <c:ptCount val="1"/>
                        <c:pt idx="0">
                          <c:v>s3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B528-44AC-804E-47D23A7F91E7}"/>
                </c:ext>
              </c:extLst>
            </c:dLbl>
            <c:dLbl>
              <c:idx val="3"/>
              <c:layout>
                <c:manualLayout>
                  <c:x val="-9.0939443846193138E-2"/>
                  <c:y val="-2.5517730165035011E-3"/>
                </c:manualLayout>
              </c:layout>
              <c:tx>
                <c:strRef>
                  <c:f>Stakeholder!$B$8</c:f>
                  <c:strCache>
                    <c:ptCount val="1"/>
                    <c:pt idx="0">
                      <c:v>s4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{88368F4D-4A38-47FC-A3E0-8AA299E0BF9A}</c15:txfldGUID>
                      <c15:f>Stakeholder!$B$8</c15:f>
                      <c15:dlblFieldTableCache>
                        <c:ptCount val="1"/>
                        <c:pt idx="0">
                          <c:v>s4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B528-44AC-804E-47D23A7F91E7}"/>
                </c:ext>
              </c:extLst>
            </c:dLbl>
            <c:dLbl>
              <c:idx val="4"/>
              <c:layout>
                <c:manualLayout>
                  <c:x val="-0.12287509302017695"/>
                  <c:y val="1.3952662445384238E-2"/>
                </c:manualLayout>
              </c:layout>
              <c:tx>
                <c:strRef>
                  <c:f>Stakeholder!$B$9</c:f>
                  <c:strCache>
                    <c:ptCount val="1"/>
                    <c:pt idx="0">
                      <c:v>s5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{699D9965-1941-4E07-B54D-94F765C2415C}</c15:txfldGUID>
                      <c15:f>Stakeholder!$B$9</c15:f>
                      <c15:dlblFieldTableCache>
                        <c:ptCount val="1"/>
                        <c:pt idx="0">
                          <c:v>s5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B528-44AC-804E-47D23A7F91E7}"/>
                </c:ext>
              </c:extLst>
            </c:dLbl>
            <c:dLbl>
              <c:idx val="5"/>
              <c:layout>
                <c:manualLayout>
                  <c:x val="-0.14533772694471586"/>
                  <c:y val="1.4749262536873156E-2"/>
                </c:manualLayout>
              </c:layout>
              <c:tx>
                <c:strRef>
                  <c:f>Stakeholder!$B$10</c:f>
                  <c:strCache>
                    <c:ptCount val="1"/>
                    <c:pt idx="0">
                      <c:v>s6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{B3C8283A-3CB7-4310-97B6-0D8F44B0ACA4}</c15:txfldGUID>
                      <c15:f>Stakeholder!$B$10</c15:f>
                      <c15:dlblFieldTableCache>
                        <c:ptCount val="1"/>
                        <c:pt idx="0">
                          <c:v>s6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B528-44AC-804E-47D23A7F91E7}"/>
                </c:ext>
              </c:extLst>
            </c:dLbl>
            <c:dLbl>
              <c:idx val="6"/>
              <c:tx>
                <c:strRef>
                  <c:f>Stakeholder!$C$11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{12BBEC2D-7B3F-47EC-A513-F115BE5D3053}</c15:txfldGUID>
                      <c15:f>Stakeholder!$C$11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B528-44AC-804E-47D23A7F91E7}"/>
                </c:ext>
              </c:extLst>
            </c:dLbl>
            <c:dLbl>
              <c:idx val="7"/>
              <c:layout>
                <c:manualLayout>
                  <c:x val="-0.19249918577696037"/>
                  <c:y val="-8.8495575221238937E-3"/>
                </c:manualLayout>
              </c:layout>
              <c:tx>
                <c:strRef>
                  <c:f>Stakeholder!$B$12</c:f>
                  <c:strCache>
                    <c:ptCount val="1"/>
                    <c:pt idx="0">
                      <c:v>s8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{46B0B129-DFB0-40DB-B99E-800B6CF224BA}</c15:txfldGUID>
                      <c15:f>Stakeholder!$B$12</c15:f>
                      <c15:dlblFieldTableCache>
                        <c:ptCount val="1"/>
                        <c:pt idx="0">
                          <c:v>s8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B528-44AC-804E-47D23A7F91E7}"/>
                </c:ext>
              </c:extLst>
            </c:dLbl>
            <c:dLbl>
              <c:idx val="8"/>
              <c:layout>
                <c:manualLayout>
                  <c:x val="-0.13391584527697264"/>
                  <c:y val="2.9148656121248937E-3"/>
                </c:manualLayout>
              </c:layout>
              <c:tx>
                <c:strRef>
                  <c:f>Stakeholder!$B$13</c:f>
                  <c:strCache>
                    <c:ptCount val="1"/>
                    <c:pt idx="0">
                      <c:v>s9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{AA60CB5B-A92B-410F-B3FF-AA2466D227B1}</c15:txfldGUID>
                      <c15:f>Stakeholder!$B$13</c15:f>
                      <c15:dlblFieldTableCache>
                        <c:ptCount val="1"/>
                        <c:pt idx="0">
                          <c:v>s9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B528-44AC-804E-47D23A7F91E7}"/>
                </c:ext>
              </c:extLst>
            </c:dLbl>
            <c:dLbl>
              <c:idx val="9"/>
              <c:layout>
                <c:manualLayout>
                  <c:x val="-0.14014687545281485"/>
                  <c:y val="-1.1869436201780416E-2"/>
                </c:manualLayout>
              </c:layout>
              <c:tx>
                <c:strRef>
                  <c:f>Stakeholder!$B$14</c:f>
                  <c:strCache>
                    <c:ptCount val="1"/>
                    <c:pt idx="0">
                      <c:v>s10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{C0BFD17D-B7E0-46FD-B072-5E28BDC73153}</c15:txfldGUID>
                      <c15:f>Stakeholder!$B$14</c15:f>
                      <c15:dlblFieldTableCache>
                        <c:ptCount val="1"/>
                        <c:pt idx="0">
                          <c:v>s10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B528-44AC-804E-47D23A7F91E7}"/>
                </c:ext>
              </c:extLst>
            </c:dLbl>
            <c:dLbl>
              <c:idx val="10"/>
              <c:layout>
                <c:manualLayout>
                  <c:x val="-0.14232276947779585"/>
                  <c:y val="2.0132869148032691E-3"/>
                </c:manualLayout>
              </c:layout>
              <c:tx>
                <c:strRef>
                  <c:f>Stakeholder!$B$15</c:f>
                  <c:strCache>
                    <c:ptCount val="1"/>
                    <c:pt idx="0">
                      <c:v>s11</c:v>
                    </c:pt>
                  </c:strCache>
                </c:strRef>
              </c:tx>
              <c:numFmt formatCode="General" sourceLinked="0"/>
              <c:spPr>
                <a:ln>
                  <a:noFill/>
                </a:ln>
              </c:spPr>
              <c:txPr>
                <a:bodyPr rot="0" anchor="ctr" anchorCtr="1"/>
                <a:lstStyle/>
                <a:p>
                  <a:pPr algn="ctr" rtl="0">
                    <a:defRPr lang="en-US" sz="14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{913F4A03-9795-4AC3-8F92-E6BD33C9E265}</c15:txfldGUID>
                      <c15:f>Stakeholder!$B$15</c15:f>
                      <c15:dlblFieldTableCache>
                        <c:ptCount val="1"/>
                        <c:pt idx="0">
                          <c:v>s11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B528-44AC-804E-47D23A7F91E7}"/>
                </c:ext>
              </c:extLst>
            </c:dLbl>
            <c:dLbl>
              <c:idx val="11"/>
              <c:layout>
                <c:manualLayout>
                  <c:x val="-0.14379873181313135"/>
                  <c:y val="8.8495837130151012E-3"/>
                </c:manualLayout>
              </c:layout>
              <c:tx>
                <c:strRef>
                  <c:f>Stakeholder!$B$16</c:f>
                  <c:strCache>
                    <c:ptCount val="1"/>
                    <c:pt idx="0">
                      <c:v>s12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{7EC1A87F-3844-46E9-971F-8588630E6E33}</c15:txfldGUID>
                      <c15:f>Stakeholder!$B$16</c15:f>
                      <c15:dlblFieldTableCache>
                        <c:ptCount val="1"/>
                        <c:pt idx="0">
                          <c:v>s12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B528-44AC-804E-47D23A7F91E7}"/>
                </c:ext>
              </c:extLst>
            </c:dLbl>
            <c:dLbl>
              <c:idx val="12"/>
              <c:layout>
                <c:manualLayout>
                  <c:x val="-0.15042782952225492"/>
                  <c:y val="-3.0198524887653138E-3"/>
                </c:manualLayout>
              </c:layout>
              <c:tx>
                <c:strRef>
                  <c:f>Stakeholder!$B$17</c:f>
                  <c:strCache>
                    <c:ptCount val="1"/>
                    <c:pt idx="0">
                      <c:v>s13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{4A3EA828-9FCA-4298-AAD0-3D62397D8973}</c15:txfldGUID>
                      <c15:f>Stakeholder!$B$17</c15:f>
                      <c15:dlblFieldTableCache>
                        <c:ptCount val="1"/>
                        <c:pt idx="0">
                          <c:v>s13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B528-44AC-804E-47D23A7F91E7}"/>
                </c:ext>
              </c:extLst>
            </c:dLbl>
            <c:dLbl>
              <c:idx val="13"/>
              <c:layout>
                <c:manualLayout>
                  <c:x val="-0.12557727610711694"/>
                  <c:y val="-3.8514918572863854E-3"/>
                </c:manualLayout>
              </c:layout>
              <c:tx>
                <c:strRef>
                  <c:f>Stakeholder!$B$18</c:f>
                  <c:strCache>
                    <c:ptCount val="1"/>
                    <c:pt idx="0">
                      <c:v>s14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{041915B6-9CAD-41C2-8E08-A6EFFBE26D4B}</c15:txfldGUID>
                      <c15:f>Stakeholder!$B$18</c15:f>
                      <c15:dlblFieldTableCache>
                        <c:ptCount val="1"/>
                        <c:pt idx="0">
                          <c:v>s14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B528-44AC-804E-47D23A7F91E7}"/>
                </c:ext>
              </c:extLst>
            </c:dLbl>
            <c:dLbl>
              <c:idx val="14"/>
              <c:layout>
                <c:manualLayout>
                  <c:x val="-0.13468413199758569"/>
                  <c:y val="5.8996705530503053E-3"/>
                </c:manualLayout>
              </c:layout>
              <c:tx>
                <c:strRef>
                  <c:f>Stakeholder!$B$19</c:f>
                  <c:strCache>
                    <c:ptCount val="1"/>
                    <c:pt idx="0">
                      <c:v>s15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{A96E2FD8-5494-41BC-BC69-955564AA8C81}</c15:txfldGUID>
                      <c15:f>Stakeholder!$B$19</c15:f>
                      <c15:dlblFieldTableCache>
                        <c:ptCount val="1"/>
                        <c:pt idx="0">
                          <c:v>s15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B528-44AC-804E-47D23A7F91E7}"/>
                </c:ext>
              </c:extLst>
            </c:dLbl>
            <c:dLbl>
              <c:idx val="15"/>
              <c:layout>
                <c:manualLayout>
                  <c:x val="-0.15875984614012245"/>
                  <c:y val="1.9209015786973215E-2"/>
                </c:manualLayout>
              </c:layout>
              <c:tx>
                <c:strRef>
                  <c:f>Stakeholder!$B$20</c:f>
                  <c:strCache>
                    <c:ptCount val="1"/>
                    <c:pt idx="0">
                      <c:v>s16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{930654E9-F264-4D66-AD15-C5AB62E82246}</c15:txfldGUID>
                      <c15:f>Stakeholder!$B$20</c15:f>
                      <c15:dlblFieldTableCache>
                        <c:ptCount val="1"/>
                        <c:pt idx="0">
                          <c:v>s16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B528-44AC-804E-47D23A7F91E7}"/>
                </c:ext>
              </c:extLst>
            </c:dLbl>
            <c:dLbl>
              <c:idx val="16"/>
              <c:layout>
                <c:manualLayout>
                  <c:x val="-0.13325790948870578"/>
                  <c:y val="2.9148656121248937E-3"/>
                </c:manualLayout>
              </c:layout>
              <c:tx>
                <c:strRef>
                  <c:f>Stakeholder!$B$21</c:f>
                  <c:strCache>
                    <c:ptCount val="1"/>
                    <c:pt idx="0">
                      <c:v>s17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{82A823F8-0108-424C-8B86-7B103412EC05}</c15:txfldGUID>
                      <c15:f>Stakeholder!$B$21</c15:f>
                      <c15:dlblFieldTableCache>
                        <c:ptCount val="1"/>
                        <c:pt idx="0">
                          <c:v>s17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B528-44AC-804E-47D23A7F91E7}"/>
                </c:ext>
              </c:extLst>
            </c:dLbl>
            <c:dLbl>
              <c:idx val="17"/>
              <c:layout>
                <c:manualLayout>
                  <c:x val="-0.14763003874494207"/>
                  <c:y val="1.2806062446941907E-2"/>
                </c:manualLayout>
              </c:layout>
              <c:tx>
                <c:strRef>
                  <c:f>Stakeholder!$B$22</c:f>
                  <c:strCache>
                    <c:ptCount val="1"/>
                    <c:pt idx="0">
                      <c:v>s18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{F07F8322-9273-4C42-A14A-BCB8C381DA1E}</c15:txfldGUID>
                      <c15:f>Stakeholder!$B$22</c15:f>
                      <c15:dlblFieldTableCache>
                        <c:ptCount val="1"/>
                        <c:pt idx="0">
                          <c:v>s18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B528-44AC-804E-47D23A7F91E7}"/>
                </c:ext>
              </c:extLst>
            </c:dLbl>
            <c:dLbl>
              <c:idx val="18"/>
              <c:layout>
                <c:manualLayout>
                  <c:x val="-0.14983824876495563"/>
                  <c:y val="9.9612919304967826E-3"/>
                </c:manualLayout>
              </c:layout>
              <c:tx>
                <c:strRef>
                  <c:f>Stakeholder!$B$23</c:f>
                  <c:strCache>
                    <c:ptCount val="1"/>
                    <c:pt idx="0">
                      <c:v>s19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{C59E7BF9-03FC-4EA5-89F8-B23D4332A2FF}</c15:txfldGUID>
                      <c15:f>Stakeholder!$B$23</c15:f>
                      <c15:dlblFieldTableCache>
                        <c:ptCount val="1"/>
                        <c:pt idx="0">
                          <c:v>s19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B528-44AC-804E-47D23A7F91E7}"/>
                </c:ext>
              </c:extLst>
            </c:dLbl>
            <c:dLbl>
              <c:idx val="19"/>
              <c:layout>
                <c:manualLayout>
                  <c:x val="-0.14422911534144528"/>
                  <c:y val="-2.9148656121248937E-3"/>
                </c:manualLayout>
              </c:layout>
              <c:tx>
                <c:strRef>
                  <c:f>Stakeholder!$B$24</c:f>
                  <c:strCache>
                    <c:ptCount val="1"/>
                    <c:pt idx="0">
                      <c:v>s20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{58E79921-7F25-4520-BC5E-B6CCD3FD258D}</c15:txfldGUID>
                      <c15:f>Stakeholder!$B$24</c15:f>
                      <c15:dlblFieldTableCache>
                        <c:ptCount val="1"/>
                        <c:pt idx="0">
                          <c:v>s20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B528-44AC-804E-47D23A7F91E7}"/>
                </c:ext>
              </c:extLst>
            </c:dLbl>
            <c:numFmt formatCode="General" sourceLinked="0"/>
            <c:spPr>
              <a:ln>
                <a:noFill/>
              </a:ln>
            </c:spPr>
            <c:txPr>
              <a:bodyPr rot="0" anchor="ctr" anchorCtr="1"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Stakeholder!$D$5:$D$24</c:f>
              <c:numCache>
                <c:formatCode>0</c:formatCode>
                <c:ptCount val="20"/>
                <c:pt idx="0">
                  <c:v>8.1818181818181817</c:v>
                </c:pt>
                <c:pt idx="1">
                  <c:v>5</c:v>
                </c:pt>
                <c:pt idx="2">
                  <c:v>9.0909090909090899</c:v>
                </c:pt>
              </c:numCache>
            </c:numRef>
          </c:xVal>
          <c:yVal>
            <c:numRef>
              <c:f>Stakeholder!$E$5:$E$24</c:f>
              <c:numCache>
                <c:formatCode>0</c:formatCode>
                <c:ptCount val="20"/>
                <c:pt idx="0">
                  <c:v>4</c:v>
                </c:pt>
                <c:pt idx="1">
                  <c:v>6</c:v>
                </c:pt>
                <c:pt idx="2">
                  <c:v>8</c:v>
                </c:pt>
              </c:numCache>
            </c:numRef>
          </c:yVal>
          <c:bubbleSize>
            <c:numRef>
              <c:f>Stakeholder!$J$5:$J$24</c:f>
              <c:numCache>
                <c:formatCode>General</c:formatCode>
                <c:ptCount val="20"/>
                <c:pt idx="0">
                  <c:v>2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B528-44AC-804E-47D23A7F91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794077088"/>
        <c:axId val="1794079808"/>
      </c:bubbleChart>
      <c:valAx>
        <c:axId val="1794077088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1794079808"/>
        <c:crosses val="autoZero"/>
        <c:crossBetween val="midCat"/>
        <c:majorUnit val="1"/>
        <c:minorUnit val="0.1"/>
      </c:valAx>
      <c:valAx>
        <c:axId val="1794079808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179407708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493797177062777E-2"/>
          <c:y val="9.4893660531241791E-2"/>
          <c:w val="0.83053562479904297"/>
          <c:h val="0.674909426824440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Struktur!$B$29:$B$48</c:f>
              <c:strCache>
                <c:ptCount val="6"/>
                <c:pt idx="0">
                  <c:v>Verantwortlichkeiten</c:v>
                </c:pt>
                <c:pt idx="1">
                  <c:v>Stellenbeschrieb</c:v>
                </c:pt>
                <c:pt idx="2">
                  <c:v>Knowledge Management</c:v>
                </c:pt>
                <c:pt idx="3">
                  <c:v>Vision &amp; Strategie</c:v>
                </c:pt>
                <c:pt idx="4">
                  <c:v>Organigramm</c:v>
                </c:pt>
                <c:pt idx="5">
                  <c:v>Kommunikation</c:v>
                </c:pt>
              </c:strCache>
            </c:strRef>
          </c:cat>
          <c:val>
            <c:numRef>
              <c:f>Struktur!$C$29:$C$48</c:f>
              <c:numCache>
                <c:formatCode>General</c:formatCode>
                <c:ptCount val="20"/>
                <c:pt idx="0">
                  <c:v>8</c:v>
                </c:pt>
                <c:pt idx="1">
                  <c:v>7</c:v>
                </c:pt>
                <c:pt idx="2">
                  <c:v>7</c:v>
                </c:pt>
                <c:pt idx="3">
                  <c:v>6</c:v>
                </c:pt>
                <c:pt idx="4">
                  <c:v>5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E6-4169-A838-F53F36302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66607536"/>
        <c:axId val="1766634736"/>
      </c:barChart>
      <c:lineChart>
        <c:grouping val="standard"/>
        <c:varyColors val="0"/>
        <c:ser>
          <c:idx val="1"/>
          <c:order val="1"/>
          <c:tx>
            <c:strRef>
              <c:f>Struktur!$E$28</c:f>
              <c:strCache>
                <c:ptCount val="1"/>
                <c:pt idx="0">
                  <c:v>Percentage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Struktur!$E$29:$E$48</c:f>
              <c:numCache>
                <c:formatCode>0%</c:formatCode>
                <c:ptCount val="20"/>
                <c:pt idx="0">
                  <c:v>0.22222222222222221</c:v>
                </c:pt>
                <c:pt idx="1">
                  <c:v>0.41666666666666663</c:v>
                </c:pt>
                <c:pt idx="2">
                  <c:v>0.61111111111111105</c:v>
                </c:pt>
                <c:pt idx="3">
                  <c:v>0.77777777777777768</c:v>
                </c:pt>
                <c:pt idx="4">
                  <c:v>0.91666666666666652</c:v>
                </c:pt>
                <c:pt idx="5">
                  <c:v>0.99999999999999989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E6-4169-A838-F53F36302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6633104"/>
        <c:axId val="1766627120"/>
      </c:lineChart>
      <c:catAx>
        <c:axId val="1766607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634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6634736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607536"/>
        <c:crosses val="autoZero"/>
        <c:crossBetween val="between"/>
      </c:valAx>
      <c:catAx>
        <c:axId val="1766633104"/>
        <c:scaling>
          <c:orientation val="minMax"/>
        </c:scaling>
        <c:delete val="1"/>
        <c:axPos val="b"/>
        <c:majorTickMark val="none"/>
        <c:minorTickMark val="none"/>
        <c:tickLblPos val="nextTo"/>
        <c:crossAx val="1766627120"/>
        <c:crosses val="autoZero"/>
        <c:auto val="1"/>
        <c:lblAlgn val="ctr"/>
        <c:lblOffset val="100"/>
        <c:noMultiLvlLbl val="0"/>
      </c:catAx>
      <c:valAx>
        <c:axId val="1766627120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633104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 verticalDpi="1200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493797177062777E-2"/>
          <c:y val="9.4893660531241791E-2"/>
          <c:w val="0.83053562479904297"/>
          <c:h val="0.674909426824440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Systeme!$B$29:$B$48</c:f>
              <c:strCache>
                <c:ptCount val="5"/>
                <c:pt idx="0">
                  <c:v>Hardware</c:v>
                </c:pt>
                <c:pt idx="1">
                  <c:v>Internetauftritt</c:v>
                </c:pt>
                <c:pt idx="2">
                  <c:v>SAP</c:v>
                </c:pt>
                <c:pt idx="3">
                  <c:v>Software</c:v>
                </c:pt>
                <c:pt idx="4">
                  <c:v>Managementinformations-system</c:v>
                </c:pt>
              </c:strCache>
            </c:strRef>
          </c:cat>
          <c:val>
            <c:numRef>
              <c:f>Systeme!$C$29:$C$48</c:f>
              <c:numCache>
                <c:formatCode>General</c:formatCode>
                <c:ptCount val="20"/>
                <c:pt idx="0">
                  <c:v>10</c:v>
                </c:pt>
                <c:pt idx="1">
                  <c:v>5</c:v>
                </c:pt>
                <c:pt idx="2">
                  <c:v>4</c:v>
                </c:pt>
                <c:pt idx="3">
                  <c:v>3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90-4212-B650-CFD08B9202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66616784"/>
        <c:axId val="1766618416"/>
      </c:barChart>
      <c:lineChart>
        <c:grouping val="standard"/>
        <c:varyColors val="0"/>
        <c:ser>
          <c:idx val="1"/>
          <c:order val="1"/>
          <c:tx>
            <c:strRef>
              <c:f>Systeme!$E$28</c:f>
              <c:strCache>
                <c:ptCount val="1"/>
                <c:pt idx="0">
                  <c:v>Percentage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Systeme!$E$29:$E$48</c:f>
              <c:numCache>
                <c:formatCode>0%</c:formatCode>
                <c:ptCount val="20"/>
                <c:pt idx="0">
                  <c:v>0.43478260869565216</c:v>
                </c:pt>
                <c:pt idx="1">
                  <c:v>0.65217391304347827</c:v>
                </c:pt>
                <c:pt idx="2">
                  <c:v>0.82608695652173914</c:v>
                </c:pt>
                <c:pt idx="3">
                  <c:v>0.95652173913043481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90-4212-B650-CFD08B9202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6612976"/>
        <c:axId val="1766608080"/>
      </c:lineChart>
      <c:catAx>
        <c:axId val="1766616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618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6618416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616784"/>
        <c:crosses val="autoZero"/>
        <c:crossBetween val="between"/>
      </c:valAx>
      <c:catAx>
        <c:axId val="1766612976"/>
        <c:scaling>
          <c:orientation val="minMax"/>
        </c:scaling>
        <c:delete val="1"/>
        <c:axPos val="b"/>
        <c:majorTickMark val="none"/>
        <c:minorTickMark val="none"/>
        <c:tickLblPos val="nextTo"/>
        <c:crossAx val="1766608080"/>
        <c:crosses val="autoZero"/>
        <c:auto val="1"/>
        <c:lblAlgn val="ctr"/>
        <c:lblOffset val="100"/>
        <c:noMultiLvlLbl val="0"/>
      </c:catAx>
      <c:valAx>
        <c:axId val="1766608080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612976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 verticalDpi="1200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  <a:ln w="22225"/>
          </c:spPr>
          <c:cat>
            <c:strRef>
              <c:f>Forces!$B$62:$B$70</c:f>
              <c:strCache>
                <c:ptCount val="9"/>
                <c:pt idx="0">
                  <c:v>CUSTOMER RELATIONSHIP</c:v>
                </c:pt>
                <c:pt idx="1">
                  <c:v>REVENUE STREAMS</c:v>
                </c:pt>
                <c:pt idx="2">
                  <c:v>COST STRUCTURE</c:v>
                </c:pt>
                <c:pt idx="3">
                  <c:v>CUSTOMER SEGMENTS</c:v>
                </c:pt>
                <c:pt idx="4">
                  <c:v>CHANNELS</c:v>
                </c:pt>
                <c:pt idx="5">
                  <c:v>CUSTOMER RELATIONSHIP</c:v>
                </c:pt>
                <c:pt idx="6">
                  <c:v>KEY RESSOURCES</c:v>
                </c:pt>
                <c:pt idx="7">
                  <c:v>KEY ACTIVITIES</c:v>
                </c:pt>
                <c:pt idx="8">
                  <c:v>KEY PARTNERSHIP</c:v>
                </c:pt>
              </c:strCache>
            </c:strRef>
          </c:cat>
          <c:val>
            <c:numRef>
              <c:f>Forces!$C$62:$C$70</c:f>
              <c:numCache>
                <c:formatCode>General</c:formatCode>
                <c:ptCount val="9"/>
                <c:pt idx="0">
                  <c:v>3.25</c:v>
                </c:pt>
                <c:pt idx="1">
                  <c:v>3.125</c:v>
                </c:pt>
                <c:pt idx="2">
                  <c:v>3.25</c:v>
                </c:pt>
                <c:pt idx="3">
                  <c:v>2</c:v>
                </c:pt>
                <c:pt idx="4">
                  <c:v>1.5714285714285714</c:v>
                </c:pt>
                <c:pt idx="5">
                  <c:v>2.875</c:v>
                </c:pt>
                <c:pt idx="6">
                  <c:v>1.3333333333333333</c:v>
                </c:pt>
                <c:pt idx="7">
                  <c:v>0.75</c:v>
                </c:pt>
                <c:pt idx="8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BC-4D09-8AA0-8474AC4341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6623312"/>
        <c:axId val="1766629840"/>
      </c:radarChart>
      <c:catAx>
        <c:axId val="1766623312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1766629840"/>
        <c:crosses val="autoZero"/>
        <c:auto val="1"/>
        <c:lblAlgn val="ctr"/>
        <c:lblOffset val="100"/>
        <c:noMultiLvlLbl val="0"/>
      </c:catAx>
      <c:valAx>
        <c:axId val="1766629840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76662331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8E6-447D-B0AF-E989A552E579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8E6-447D-B0AF-E989A552E579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8E6-447D-B0AF-E989A552E579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8E6-447D-B0AF-E989A552E579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8E6-447D-B0AF-E989A552E579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8E6-447D-B0AF-E989A552E579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8E6-447D-B0AF-E989A552E579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8E6-447D-B0AF-E989A552E579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8E6-447D-B0AF-E989A552E579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8E6-447D-B0AF-E989A552E579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8E6-447D-B0AF-E989A552E579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8E6-447D-B0AF-E989A552E579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8E6-447D-B0AF-E989A552E579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8E6-447D-B0AF-E989A552E579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A8E6-447D-B0AF-E989A552E579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A8E6-447D-B0AF-E989A552E579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A8E6-447D-B0AF-E989A552E579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A8E6-447D-B0AF-E989A552E57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A8E6-447D-B0AF-E989A552E579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A8E6-447D-B0AF-E989A552E579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A8E6-447D-B0AF-E989A552E579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A8E6-447D-B0AF-E989A552E579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A8E6-447D-B0AF-E989A552E579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A8E6-447D-B0AF-E989A552E579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A8E6-447D-B0AF-E989A552E579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A8E6-447D-B0AF-E989A552E579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A8E6-447D-B0AF-E989A552E579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A8E6-447D-B0AF-E989A552E579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A8E6-447D-B0AF-E989A552E579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A8E6-447D-B0AF-E989A552E579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Forces!$A$118:$A$121</c:f>
              <c:numCache>
                <c:formatCode>General</c:formatCode>
                <c:ptCount val="4"/>
                <c:pt idx="0">
                  <c:v>9</c:v>
                </c:pt>
                <c:pt idx="1">
                  <c:v>7</c:v>
                </c:pt>
                <c:pt idx="2">
                  <c:v>5</c:v>
                </c:pt>
                <c:pt idx="3">
                  <c:v>3</c:v>
                </c:pt>
              </c:numCache>
            </c:numRef>
          </c:xVal>
          <c:yVal>
            <c:numRef>
              <c:f>Forces!$B$118:$B$121</c:f>
              <c:numCache>
                <c:formatCode>General</c:formatCode>
                <c:ptCount val="4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</c:numCache>
            </c:numRef>
          </c:yVal>
          <c:bubbleSize>
            <c:numRef>
              <c:f>Forces!$C$118:$C$121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A8E6-447D-B0AF-E989A552E5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766608624"/>
        <c:axId val="1766635824"/>
      </c:bubbleChart>
      <c:valAx>
        <c:axId val="176660862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766635824"/>
        <c:crosses val="autoZero"/>
        <c:crossBetween val="midCat"/>
        <c:majorUnit val="1"/>
        <c:minorUnit val="0.1"/>
      </c:valAx>
      <c:valAx>
        <c:axId val="176663582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76660862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2361-4744-8B42-07563DCD8C01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2361-4744-8B42-07563DCD8C01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2361-4744-8B42-07563DCD8C01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2361-4744-8B42-07563DCD8C01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2361-4744-8B42-07563DCD8C01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2361-4744-8B42-07563DCD8C01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2361-4744-8B42-07563DCD8C01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2361-4744-8B42-07563DCD8C01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2361-4744-8B42-07563DCD8C01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2361-4744-8B42-07563DCD8C01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2361-4744-8B42-07563DCD8C01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2361-4744-8B42-07563DCD8C01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2361-4744-8B42-07563DCD8C01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2361-4744-8B42-07563DCD8C01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2361-4744-8B42-07563DCD8C01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2361-4744-8B42-07563DCD8C01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2361-4744-8B42-07563DCD8C01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2361-4744-8B42-07563DCD8C0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2.4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2361-4744-8B42-07563DCD8C01}"/>
                </c:ext>
              </c:extLst>
            </c:dLbl>
            <c:dLbl>
              <c:idx val="4"/>
              <c:layout>
                <c:manualLayout>
                  <c:x val="-0.13352953308096621"/>
                  <c:y val="-1.220496514614161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2361-4744-8B42-07563DCD8C01}"/>
                </c:ext>
              </c:extLst>
            </c:dLbl>
            <c:dLbl>
              <c:idx val="5"/>
              <c:layout>
                <c:manualLayout>
                  <c:x val="-0.1388947007387194"/>
                  <c:y val="8.8742815213403454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2361-4744-8B42-07563DCD8C01}"/>
                </c:ext>
              </c:extLst>
            </c:dLbl>
            <c:dLbl>
              <c:idx val="6"/>
              <c:layout>
                <c:manualLayout>
                  <c:x val="-0.1283153074659521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2361-4744-8B42-07563DCD8C01}"/>
                </c:ext>
              </c:extLst>
            </c:dLbl>
            <c:dLbl>
              <c:idx val="7"/>
              <c:layout>
                <c:manualLayout>
                  <c:x val="-0.12219393511883324"/>
                  <c:y val="1.663996575761281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2361-4744-8B42-07563DCD8C01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2361-4744-8B42-07563DCD8C01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2361-4744-8B42-07563DCD8C01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2361-4744-8B42-07563DCD8C01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2361-4744-8B42-07563DCD8C01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2361-4744-8B42-07563DCD8C01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2361-4744-8B42-07563DCD8C01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2361-4744-8B42-07563DCD8C01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Forces!$A$123:$A$130</c:f>
              <c:numCache>
                <c:formatCode>General</c:formatCode>
                <c:ptCount val="8"/>
                <c:pt idx="0">
                  <c:v>5</c:v>
                </c:pt>
                <c:pt idx="1">
                  <c:v>4</c:v>
                </c:pt>
                <c:pt idx="2">
                  <c:v>8</c:v>
                </c:pt>
                <c:pt idx="3">
                  <c:v>8</c:v>
                </c:pt>
                <c:pt idx="4">
                  <c:v>5</c:v>
                </c:pt>
                <c:pt idx="5">
                  <c:v>9</c:v>
                </c:pt>
                <c:pt idx="6">
                  <c:v>5</c:v>
                </c:pt>
                <c:pt idx="7">
                  <c:v>7</c:v>
                </c:pt>
              </c:numCache>
            </c:numRef>
          </c:xVal>
          <c:yVal>
            <c:numRef>
              <c:f>Forces!$B$123:$B$130</c:f>
              <c:numCache>
                <c:formatCode>General</c:formatCode>
                <c:ptCount val="8"/>
                <c:pt idx="0">
                  <c:v>5</c:v>
                </c:pt>
                <c:pt idx="1">
                  <c:v>2</c:v>
                </c:pt>
                <c:pt idx="2">
                  <c:v>4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  <c:pt idx="7">
                  <c:v>3</c:v>
                </c:pt>
              </c:numCache>
            </c:numRef>
          </c:yVal>
          <c:bubbleSize>
            <c:numRef>
              <c:f>Forces!$C$123:$C$130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2361-4744-8B42-07563DCD8C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766633648"/>
        <c:axId val="1766636368"/>
      </c:bubbleChart>
      <c:valAx>
        <c:axId val="1766633648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766636368"/>
        <c:crosses val="autoZero"/>
        <c:crossBetween val="midCat"/>
        <c:majorUnit val="1"/>
        <c:minorUnit val="0.1"/>
      </c:valAx>
      <c:valAx>
        <c:axId val="176663636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76663364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FB7C-4DF9-B9F4-0B67BC763E53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B7C-4DF9-B9F4-0B67BC763E53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FB7C-4DF9-B9F4-0B67BC763E53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FB7C-4DF9-B9F4-0B67BC763E53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FB7C-4DF9-B9F4-0B67BC763E53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FB7C-4DF9-B9F4-0B67BC763E53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FB7C-4DF9-B9F4-0B67BC763E53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FB7C-4DF9-B9F4-0B67BC763E53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FB7C-4DF9-B9F4-0B67BC763E53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FB7C-4DF9-B9F4-0B67BC763E53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FB7C-4DF9-B9F4-0B67BC763E53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FB7C-4DF9-B9F4-0B67BC763E53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FB7C-4DF9-B9F4-0B67BC763E53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FB7C-4DF9-B9F4-0B67BC763E53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FB7C-4DF9-B9F4-0B67BC763E53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FB7C-4DF9-B9F4-0B67BC763E53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FB7C-4DF9-B9F4-0B67BC763E53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FB7C-4DF9-B9F4-0B67BC763E5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FB7C-4DF9-B9F4-0B67BC763E53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FB7C-4DF9-B9F4-0B67BC763E53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FB7C-4DF9-B9F4-0B67BC763E53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FB7C-4DF9-B9F4-0B67BC763E53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FB7C-4DF9-B9F4-0B67BC763E53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FB7C-4DF9-B9F4-0B67BC763E53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FB7C-4DF9-B9F4-0B67BC763E5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FB7C-4DF9-B9F4-0B67BC763E53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FB7C-4DF9-B9F4-0B67BC763E53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FB7C-4DF9-B9F4-0B67BC763E53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FB7C-4DF9-B9F4-0B67BC763E53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FB7C-4DF9-B9F4-0B67BC763E53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Forces!$A$132:$A$135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xVal>
          <c:yVal>
            <c:numRef>
              <c:f>Forces!$B$132:$B$135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2</c:v>
                </c:pt>
                <c:pt idx="3">
                  <c:v>2</c:v>
                </c:pt>
              </c:numCache>
            </c:numRef>
          </c:yVal>
          <c:bubbleSize>
            <c:numRef>
              <c:f>Forces!$C$132:$C$135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FB7C-4DF9-B9F4-0B67BC763E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766629296"/>
        <c:axId val="1766614064"/>
      </c:bubbleChart>
      <c:valAx>
        <c:axId val="176662929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766614064"/>
        <c:crosses val="autoZero"/>
        <c:crossBetween val="midCat"/>
        <c:majorUnit val="1"/>
        <c:minorUnit val="0.1"/>
      </c:valAx>
      <c:valAx>
        <c:axId val="176661406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76662929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B4CC-4E3D-950C-D6B297919C91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B4CC-4E3D-950C-D6B297919C91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B4CC-4E3D-950C-D6B297919C91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B4CC-4E3D-950C-D6B297919C91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B4CC-4E3D-950C-D6B297919C91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B4CC-4E3D-950C-D6B297919C91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B4CC-4E3D-950C-D6B297919C91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4CC-4E3D-950C-D6B297919C91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4CC-4E3D-950C-D6B297919C91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B4CC-4E3D-950C-D6B297919C91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B4CC-4E3D-950C-D6B297919C91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B4CC-4E3D-950C-D6B297919C91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B4CC-4E3D-950C-D6B297919C91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B4CC-4E3D-950C-D6B297919C91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B4CC-4E3D-950C-D6B297919C91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B4CC-4E3D-950C-D6B297919C91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B4CC-4E3D-950C-D6B297919C91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B4CC-4E3D-950C-D6B297919C9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B4CC-4E3D-950C-D6B297919C91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B4CC-4E3D-950C-D6B297919C91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B4CC-4E3D-950C-D6B297919C91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B4CC-4E3D-950C-D6B297919C91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B4CC-4E3D-950C-D6B297919C91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B4CC-4E3D-950C-D6B297919C91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B4CC-4E3D-950C-D6B297919C91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B4CC-4E3D-950C-D6B297919C91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B4CC-4E3D-950C-D6B297919C91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B4CC-4E3D-950C-D6B297919C91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B4CC-4E3D-950C-D6B297919C91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B4CC-4E3D-950C-D6B297919C91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Forces!$A$137:$A$139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5</c:v>
                </c:pt>
              </c:numCache>
            </c:numRef>
          </c:xVal>
          <c:yVal>
            <c:numRef>
              <c:f>Forces!$B$137:$B$139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1</c:v>
                </c:pt>
              </c:numCache>
            </c:numRef>
          </c:yVal>
          <c:bubbleSize>
            <c:numRef>
              <c:f>Forces!$C$137:$C$139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B4CC-4E3D-950C-D6B297919C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766630384"/>
        <c:axId val="1766621680"/>
      </c:bubbleChart>
      <c:valAx>
        <c:axId val="176663038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766621680"/>
        <c:crosses val="autoZero"/>
        <c:crossBetween val="midCat"/>
        <c:majorUnit val="1"/>
        <c:minorUnit val="0.1"/>
      </c:valAx>
      <c:valAx>
        <c:axId val="1766621680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76663038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9E84-4564-955D-278ECADB527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9E84-4564-955D-278ECADB527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9E84-4564-955D-278ECADB527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9E84-4564-955D-278ECADB5270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9E84-4564-955D-278ECADB5270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9E84-4564-955D-278ECADB5270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9E84-4564-955D-278ECADB5270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9E84-4564-955D-278ECADB5270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9E84-4564-955D-278ECADB5270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9E84-4564-955D-278ECADB5270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9E84-4564-955D-278ECADB5270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9E84-4564-955D-278ECADB5270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9E84-4564-955D-278ECADB5270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9E84-4564-955D-278ECADB5270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9E84-4564-955D-278ECADB5270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9E84-4564-955D-278ECADB5270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9E84-4564-955D-278ECADB5270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9E84-4564-955D-278ECADB527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5.4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9E84-4564-955D-278ECADB5270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5.5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9E84-4564-955D-278ECADB5270}"/>
                </c:ext>
              </c:extLst>
            </c:dLbl>
            <c:dLbl>
              <c:idx val="5"/>
              <c:layout>
                <c:manualLayout>
                  <c:x val="-0.13414974048429978"/>
                  <c:y val="-1.44227711874770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9E84-4564-955D-278ECADB5270}"/>
                </c:ext>
              </c:extLst>
            </c:dLbl>
            <c:dLbl>
              <c:idx val="6"/>
              <c:layout>
                <c:manualLayout>
                  <c:x val="-0.1283156810848698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9E84-4564-955D-278ECADB5270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9E84-4564-955D-278ECADB5270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9E84-4564-955D-278ECADB5270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9E84-4564-955D-278ECADB527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9E84-4564-955D-278ECADB5270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9E84-4564-955D-278ECADB5270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9E84-4564-955D-278ECADB5270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9E84-4564-955D-278ECADB5270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9E84-4564-955D-278ECADB5270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Forces!$A$141:$A$147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</c:numCache>
            </c:numRef>
          </c:xVal>
          <c:yVal>
            <c:numRef>
              <c:f>Forces!$B$141:$B$147</c:f>
              <c:numCache>
                <c:formatCode>General</c:formatCode>
                <c:ptCount val="7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2</c:v>
                </c:pt>
              </c:numCache>
            </c:numRef>
          </c:yVal>
          <c:bubbleSize>
            <c:numRef>
              <c:f>Forces!$C$141:$C$147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9E84-4564-955D-278ECADB52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766615152"/>
        <c:axId val="1766616240"/>
      </c:bubbleChart>
      <c:valAx>
        <c:axId val="1766615152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766616240"/>
        <c:crosses val="autoZero"/>
        <c:crossBetween val="midCat"/>
        <c:majorUnit val="1"/>
        <c:minorUnit val="0.1"/>
      </c:valAx>
      <c:valAx>
        <c:axId val="1766616240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76661515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D131-4E10-80E6-894A0A0B04D7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D131-4E10-80E6-894A0A0B04D7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D131-4E10-80E6-894A0A0B04D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D131-4E10-80E6-894A0A0B04D7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D131-4E10-80E6-894A0A0B04D7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D131-4E10-80E6-894A0A0B04D7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D131-4E10-80E6-894A0A0B04D7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D131-4E10-80E6-894A0A0B04D7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131-4E10-80E6-894A0A0B04D7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D131-4E10-80E6-894A0A0B04D7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D131-4E10-80E6-894A0A0B04D7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D131-4E10-80E6-894A0A0B04D7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D131-4E10-80E6-894A0A0B04D7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D131-4E10-80E6-894A0A0B04D7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D131-4E10-80E6-894A0A0B04D7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D131-4E10-80E6-894A0A0B04D7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D131-4E10-80E6-894A0A0B04D7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D131-4E10-80E6-894A0A0B04D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6.4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D131-4E10-80E6-894A0A0B04D7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D131-4E10-80E6-894A0A0B04D7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D131-4E10-80E6-894A0A0B04D7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D131-4E10-80E6-894A0A0B04D7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D131-4E10-80E6-894A0A0B04D7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D131-4E10-80E6-894A0A0B04D7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D131-4E10-80E6-894A0A0B04D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D131-4E10-80E6-894A0A0B04D7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D131-4E10-80E6-894A0A0B04D7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D131-4E10-80E6-894A0A0B04D7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D131-4E10-80E6-894A0A0B04D7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D131-4E10-80E6-894A0A0B04D7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Forces!$A$149:$A$152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xVal>
          <c:yVal>
            <c:numRef>
              <c:f>Forces!$B$149:$B$152</c:f>
              <c:numCache>
                <c:formatCode>General</c:formatCode>
                <c:ptCount val="4"/>
                <c:pt idx="1">
                  <c:v>4</c:v>
                </c:pt>
                <c:pt idx="2">
                  <c:v>2</c:v>
                </c:pt>
              </c:numCache>
            </c:numRef>
          </c:yVal>
          <c:bubbleSize>
            <c:numRef>
              <c:f>Forces!$C$149:$C$152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D131-4E10-80E6-894A0A0B0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766619504"/>
        <c:axId val="1766625488"/>
      </c:bubbleChart>
      <c:valAx>
        <c:axId val="176661950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766625488"/>
        <c:crosses val="autoZero"/>
        <c:crossBetween val="midCat"/>
        <c:majorUnit val="1"/>
        <c:minorUnit val="0.1"/>
      </c:valAx>
      <c:valAx>
        <c:axId val="176662548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76661950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56C2-490B-A1BF-877AFFF6215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56C2-490B-A1BF-877AFFF6215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56C2-490B-A1BF-877AFFF6215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56C2-490B-A1BF-877AFFF62150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56C2-490B-A1BF-877AFFF62150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56C2-490B-A1BF-877AFFF62150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56C2-490B-A1BF-877AFFF62150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56C2-490B-A1BF-877AFFF62150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56C2-490B-A1BF-877AFFF62150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56C2-490B-A1BF-877AFFF62150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56C2-490B-A1BF-877AFFF62150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56C2-490B-A1BF-877AFFF62150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56C2-490B-A1BF-877AFFF62150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56C2-490B-A1BF-877AFFF62150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56C2-490B-A1BF-877AFFF62150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56C2-490B-A1BF-877AFFF62150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56C2-490B-A1BF-877AFFF62150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56C2-490B-A1BF-877AFFF6215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56C2-490B-A1BF-877AFFF62150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56C2-490B-A1BF-877AFFF62150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56C2-490B-A1BF-877AFFF62150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56C2-490B-A1BF-877AFFF62150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56C2-490B-A1BF-877AFFF62150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56C2-490B-A1BF-877AFFF62150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56C2-490B-A1BF-877AFFF6215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56C2-490B-A1BF-877AFFF62150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56C2-490B-A1BF-877AFFF62150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56C2-490B-A1BF-877AFFF62150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56C2-490B-A1BF-877AFFF62150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56C2-490B-A1BF-877AFFF62150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Forces!$A$154:$A$156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5</c:v>
                </c:pt>
              </c:numCache>
            </c:numRef>
          </c:xVal>
          <c:yVal>
            <c:numRef>
              <c:f>Forces!$B$154:$B$156</c:f>
              <c:numCache>
                <c:formatCode>General</c:formatCode>
                <c:ptCount val="3"/>
                <c:pt idx="0">
                  <c:v>4</c:v>
                </c:pt>
              </c:numCache>
            </c:numRef>
          </c:yVal>
          <c:bubbleSize>
            <c:numRef>
              <c:f>Forces!$C$154:$C$156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56C2-490B-A1BF-877AFFF621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766617328"/>
        <c:axId val="1766617872"/>
      </c:bubbleChart>
      <c:valAx>
        <c:axId val="1766617328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766617872"/>
        <c:crosses val="autoZero"/>
        <c:crossBetween val="midCat"/>
        <c:majorUnit val="1"/>
        <c:minorUnit val="0.1"/>
      </c:valAx>
      <c:valAx>
        <c:axId val="176661787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76661732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6642-4EE5-A76E-45BED89DD498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6642-4EE5-A76E-45BED89DD498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6642-4EE5-A76E-45BED89DD498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6642-4EE5-A76E-45BED89DD498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6642-4EE5-A76E-45BED89DD498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6642-4EE5-A76E-45BED89DD498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6642-4EE5-A76E-45BED89DD498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6642-4EE5-A76E-45BED89DD498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6642-4EE5-A76E-45BED89DD498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6642-4EE5-A76E-45BED89DD498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6642-4EE5-A76E-45BED89DD498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6642-4EE5-A76E-45BED89DD498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6642-4EE5-A76E-45BED89DD498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6642-4EE5-A76E-45BED89DD498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6642-4EE5-A76E-45BED89DD498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6642-4EE5-A76E-45BED89DD498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6642-4EE5-A76E-45BED89DD498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6642-4EE5-A76E-45BED89DD49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8.4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6642-4EE5-A76E-45BED89DD498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6642-4EE5-A76E-45BED89DD498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6642-4EE5-A76E-45BED89DD498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6642-4EE5-A76E-45BED89DD498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6642-4EE5-A76E-45BED89DD498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6642-4EE5-A76E-45BED89DD498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6642-4EE5-A76E-45BED89DD49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6642-4EE5-A76E-45BED89DD498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6642-4EE5-A76E-45BED89DD498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6642-4EE5-A76E-45BED89DD498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6642-4EE5-A76E-45BED89DD498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6642-4EE5-A76E-45BED89DD498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Forces!$A$158:$A$161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xVal>
          <c:yVal>
            <c:numRef>
              <c:f>Forces!$B$158:$B$161</c:f>
              <c:numCache>
                <c:formatCode>General</c:formatCode>
                <c:ptCount val="4"/>
                <c:pt idx="0">
                  <c:v>3</c:v>
                </c:pt>
              </c:numCache>
            </c:numRef>
          </c:yVal>
          <c:bubbleSize>
            <c:numRef>
              <c:f>Forces!$C$158:$C$161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6642-4EE5-A76E-45BED89DD4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766626032"/>
        <c:axId val="1766620592"/>
      </c:bubbleChart>
      <c:valAx>
        <c:axId val="1766626032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766620592"/>
        <c:crosses val="autoZero"/>
        <c:crossBetween val="midCat"/>
        <c:majorUnit val="1"/>
        <c:minorUnit val="0.1"/>
      </c:valAx>
      <c:valAx>
        <c:axId val="176662059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76662603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16FB-448F-AF3C-D213555DF1D7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16FB-448F-AF3C-D213555DF1D7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16FB-448F-AF3C-D213555DF1D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16FB-448F-AF3C-D213555DF1D7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16FB-448F-AF3C-D213555DF1D7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16FB-448F-AF3C-D213555DF1D7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16FB-448F-AF3C-D213555DF1D7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16FB-448F-AF3C-D213555DF1D7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16FB-448F-AF3C-D213555DF1D7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16FB-448F-AF3C-D213555DF1D7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16FB-448F-AF3C-D213555DF1D7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16FB-448F-AF3C-D213555DF1D7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16FB-448F-AF3C-D213555DF1D7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16FB-448F-AF3C-D213555DF1D7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16FB-448F-AF3C-D213555DF1D7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16FB-448F-AF3C-D213555DF1D7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16FB-448F-AF3C-D213555DF1D7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16FB-448F-AF3C-D213555DF1D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16FB-448F-AF3C-D213555DF1D7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16FB-448F-AF3C-D213555DF1D7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16FB-448F-AF3C-D213555DF1D7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16FB-448F-AF3C-D213555DF1D7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16FB-448F-AF3C-D213555DF1D7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16FB-448F-AF3C-D213555DF1D7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16FB-448F-AF3C-D213555DF1D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16FB-448F-AF3C-D213555DF1D7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16FB-448F-AF3C-D213555DF1D7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16FB-448F-AF3C-D213555DF1D7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16FB-448F-AF3C-D213555DF1D7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16FB-448F-AF3C-D213555DF1D7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Forces!$A$163:$A$164</c:f>
              <c:numCache>
                <c:formatCode>General</c:formatCode>
                <c:ptCount val="2"/>
                <c:pt idx="0">
                  <c:v>5</c:v>
                </c:pt>
                <c:pt idx="1">
                  <c:v>5</c:v>
                </c:pt>
              </c:numCache>
            </c:numRef>
          </c:xVal>
          <c:yVal>
            <c:numRef>
              <c:f>Forces!$B$163:$B$164</c:f>
              <c:numCache>
                <c:formatCode>General</c:formatCode>
                <c:ptCount val="2"/>
                <c:pt idx="1">
                  <c:v>3</c:v>
                </c:pt>
              </c:numCache>
            </c:numRef>
          </c:yVal>
          <c:bubbleSize>
            <c:numRef>
              <c:f>Forces!$C$163:$C$164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16FB-448F-AF3C-D213555DF1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766626576"/>
        <c:axId val="1766627664"/>
      </c:bubbleChart>
      <c:valAx>
        <c:axId val="176662657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766627664"/>
        <c:crosses val="autoZero"/>
        <c:crossBetween val="midCat"/>
        <c:majorUnit val="1"/>
        <c:minorUnit val="0.1"/>
      </c:valAx>
      <c:valAx>
        <c:axId val="176662766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76662657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Forces!$I$115</c:f>
              <c:strCache>
                <c:ptCount val="1"/>
                <c:pt idx="0">
                  <c:v>Anzahl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2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Forces!$H$116:$H$120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Forces!$I$116:$I$120</c:f>
              <c:numCache>
                <c:formatCode>_ * #,##0_ ;_ * \-#,##0_ ;_ * "-"??_ ;_ @_ </c:formatCode>
                <c:ptCount val="5"/>
                <c:pt idx="0">
                  <c:v>2</c:v>
                </c:pt>
                <c:pt idx="1">
                  <c:v>8</c:v>
                </c:pt>
                <c:pt idx="2">
                  <c:v>9</c:v>
                </c:pt>
                <c:pt idx="3">
                  <c:v>6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B1-4B62-A84C-312D5FF396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7515920"/>
        <c:axId val="1657514832"/>
      </c:barChart>
      <c:catAx>
        <c:axId val="16575159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657514832"/>
        <c:crosses val="autoZero"/>
        <c:auto val="1"/>
        <c:lblAlgn val="ctr"/>
        <c:lblOffset val="100"/>
        <c:noMultiLvlLbl val="0"/>
      </c:catAx>
      <c:valAx>
        <c:axId val="1657514832"/>
        <c:scaling>
          <c:orientation val="minMax"/>
        </c:scaling>
        <c:delete val="0"/>
        <c:axPos val="b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6575159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  <a:ln w="22225"/>
          </c:spPr>
          <c:cat>
            <c:strRef>
              <c:f>Chances!$B$82:$B$90</c:f>
              <c:strCache>
                <c:ptCount val="9"/>
                <c:pt idx="0">
                  <c:v>CUSTOMER RELATIONSHIP</c:v>
                </c:pt>
                <c:pt idx="1">
                  <c:v>REVENUE STREAMS</c:v>
                </c:pt>
                <c:pt idx="2">
                  <c:v>COST STRUCTURE</c:v>
                </c:pt>
                <c:pt idx="3">
                  <c:v>CUSTOMER SEGMENTS</c:v>
                </c:pt>
                <c:pt idx="4">
                  <c:v>CHANNELS</c:v>
                </c:pt>
                <c:pt idx="5">
                  <c:v>CUSTOMER RELATIONSHIP</c:v>
                </c:pt>
                <c:pt idx="6">
                  <c:v>KEY RESSOURCES</c:v>
                </c:pt>
                <c:pt idx="7">
                  <c:v>KEY ACTIVITIES</c:v>
                </c:pt>
                <c:pt idx="8">
                  <c:v>KEY PARTNERSHIP</c:v>
                </c:pt>
              </c:strCache>
            </c:strRef>
          </c:cat>
          <c:val>
            <c:numRef>
              <c:f>Chances!$C$82:$C$90</c:f>
              <c:numCache>
                <c:formatCode>General</c:formatCode>
                <c:ptCount val="9"/>
                <c:pt idx="0">
                  <c:v>3.2857142857142856</c:v>
                </c:pt>
                <c:pt idx="1">
                  <c:v>2.75</c:v>
                </c:pt>
                <c:pt idx="2">
                  <c:v>3</c:v>
                </c:pt>
                <c:pt idx="3">
                  <c:v>3</c:v>
                </c:pt>
                <c:pt idx="4">
                  <c:v>2.8571428571428568</c:v>
                </c:pt>
                <c:pt idx="5">
                  <c:v>2.875</c:v>
                </c:pt>
                <c:pt idx="6">
                  <c:v>2.833333333333333</c:v>
                </c:pt>
                <c:pt idx="7">
                  <c:v>3</c:v>
                </c:pt>
                <c:pt idx="8">
                  <c:v>4.125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00-4928-9C20-2DB3FC0DF6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7519728"/>
        <c:axId val="1657516464"/>
      </c:radarChart>
      <c:catAx>
        <c:axId val="1657519728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1657516464"/>
        <c:crosses val="autoZero"/>
        <c:auto val="1"/>
        <c:lblAlgn val="ctr"/>
        <c:lblOffset val="100"/>
        <c:noMultiLvlLbl val="0"/>
      </c:catAx>
      <c:valAx>
        <c:axId val="1657516464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65751972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35BE-40A4-A6EF-3DBA9C6FBD05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35BE-40A4-A6EF-3DBA9C6FBD05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35BE-40A4-A6EF-3DBA9C6FBD05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35BE-40A4-A6EF-3DBA9C6FBD05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35BE-40A4-A6EF-3DBA9C6FBD05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35BE-40A4-A6EF-3DBA9C6FBD05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35BE-40A4-A6EF-3DBA9C6FBD05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35BE-40A4-A6EF-3DBA9C6FBD05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35BE-40A4-A6EF-3DBA9C6FBD05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35BE-40A4-A6EF-3DBA9C6FBD05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35BE-40A4-A6EF-3DBA9C6FBD05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35BE-40A4-A6EF-3DBA9C6FBD05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35BE-40A4-A6EF-3DBA9C6FBD05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35BE-40A4-A6EF-3DBA9C6FBD05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35BE-40A4-A6EF-3DBA9C6FBD05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35BE-40A4-A6EF-3DBA9C6FBD05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35BE-40A4-A6EF-3DBA9C6FBD05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35BE-40A4-A6EF-3DBA9C6FBD0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35BE-40A4-A6EF-3DBA9C6FBD05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35BE-40A4-A6EF-3DBA9C6FBD05}"/>
                </c:ext>
              </c:extLst>
            </c:dLbl>
            <c:dLbl>
              <c:idx val="5"/>
              <c:layout>
                <c:manualLayout>
                  <c:x val="-0.16261950201081701"/>
                  <c:y val="1.285500288073746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35BE-40A4-A6EF-3DBA9C6FBD05}"/>
                </c:ext>
              </c:extLst>
            </c:dLbl>
            <c:dLbl>
              <c:idx val="6"/>
              <c:layout>
                <c:manualLayout>
                  <c:x val="-0.15204048235696746"/>
                  <c:y val="-6.504065040650406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35BE-40A4-A6EF-3DBA9C6FBD05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35BE-40A4-A6EF-3DBA9C6FBD05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35BE-40A4-A6EF-3DBA9C6FBD05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35BE-40A4-A6EF-3DBA9C6FBD05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35BE-40A4-A6EF-3DBA9C6FBD05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35BE-40A4-A6EF-3DBA9C6FBD05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35BE-40A4-A6EF-3DBA9C6FBD05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35BE-40A4-A6EF-3DBA9C6FBD05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35BE-40A4-A6EF-3DBA9C6FBD05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Chances!$A$134:$A$140</c:f>
              <c:numCache>
                <c:formatCode>General</c:formatCode>
                <c:ptCount val="7"/>
                <c:pt idx="0">
                  <c:v>9</c:v>
                </c:pt>
                <c:pt idx="1">
                  <c:v>8</c:v>
                </c:pt>
                <c:pt idx="2">
                  <c:v>7</c:v>
                </c:pt>
                <c:pt idx="3">
                  <c:v>6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</c:numCache>
            </c:numRef>
          </c:xVal>
          <c:yVal>
            <c:numRef>
              <c:f>Chances!$B$134:$B$140</c:f>
              <c:numCache>
                <c:formatCode>General</c:formatCode>
                <c:ptCount val="7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5</c:v>
                </c:pt>
              </c:numCache>
            </c:numRef>
          </c:yVal>
          <c:bubbleSize>
            <c:numRef>
              <c:f>Chances!$C$134:$C$140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35BE-40A4-A6EF-3DBA9C6FBD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57517552"/>
        <c:axId val="1657508848"/>
      </c:bubbleChart>
      <c:valAx>
        <c:axId val="1657517552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657508848"/>
        <c:crosses val="autoZero"/>
        <c:crossBetween val="midCat"/>
        <c:majorUnit val="1"/>
        <c:minorUnit val="0.1"/>
      </c:valAx>
      <c:valAx>
        <c:axId val="165750884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65751755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D41D-4D5F-A764-7307C87ABDCF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D41D-4D5F-A764-7307C87ABDCF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D41D-4D5F-A764-7307C87ABDC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D41D-4D5F-A764-7307C87ABDCF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D41D-4D5F-A764-7307C87ABDCF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D41D-4D5F-A764-7307C87ABDCF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D41D-4D5F-A764-7307C87ABDCF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D41D-4D5F-A764-7307C87ABDCF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41D-4D5F-A764-7307C87ABDCF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D41D-4D5F-A764-7307C87ABDCF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D41D-4D5F-A764-7307C87ABDCF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D41D-4D5F-A764-7307C87ABDCF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D41D-4D5F-A764-7307C87ABDCF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D41D-4D5F-A764-7307C87ABDCF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D41D-4D5F-A764-7307C87ABDCF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D41D-4D5F-A764-7307C87ABDCF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D41D-4D5F-A764-7307C87ABDCF}"/>
                </c:ext>
              </c:extLst>
            </c:dLbl>
            <c:dLbl>
              <c:idx val="2"/>
              <c:layout>
                <c:manualLayout>
                  <c:x val="-0.16328379644643576"/>
                  <c:y val="-2.103322450547340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D41D-4D5F-A764-7307C87ABDC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2.4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D41D-4D5F-A764-7307C87ABDCF}"/>
                </c:ext>
              </c:extLst>
            </c:dLbl>
            <c:dLbl>
              <c:idx val="4"/>
              <c:layout>
                <c:manualLayout>
                  <c:x val="-0.15725433435306391"/>
                  <c:y val="-1.9153703348057103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D41D-4D5F-A764-7307C87ABDCF}"/>
                </c:ext>
              </c:extLst>
            </c:dLbl>
            <c:dLbl>
              <c:idx val="5"/>
              <c:layout>
                <c:manualLayout>
                  <c:x val="-0.16261950201081701"/>
                  <c:y val="-2.61693873631649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D41D-4D5F-A764-7307C87ABDCF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D41D-4D5F-A764-7307C87ABDCF}"/>
                </c:ext>
              </c:extLst>
            </c:dLbl>
            <c:dLbl>
              <c:idx val="7"/>
              <c:layout>
                <c:manualLayout>
                  <c:x val="-0.13168385562767224"/>
                  <c:y val="8.8742077971960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D41D-4D5F-A764-7307C87ABDCF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D41D-4D5F-A764-7307C87ABDCF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D41D-4D5F-A764-7307C87ABDC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D41D-4D5F-A764-7307C87ABDCF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D41D-4D5F-A764-7307C87ABDCF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D41D-4D5F-A764-7307C87ABDCF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D41D-4D5F-A764-7307C87ABDCF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D41D-4D5F-A764-7307C87ABDCF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Chances!$A$142:$A$149</c:f>
              <c:numCache>
                <c:formatCode>General</c:formatCode>
                <c:ptCount val="8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</c:numCache>
            </c:numRef>
          </c:xVal>
          <c:yVal>
            <c:numRef>
              <c:f>Chances!$B$142:$B$149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2</c:v>
                </c:pt>
              </c:numCache>
            </c:numRef>
          </c:yVal>
          <c:bubbleSize>
            <c:numRef>
              <c:f>Chances!$C$142:$C$149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D41D-4D5F-A764-7307C87ABD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57513200"/>
        <c:axId val="1657521904"/>
      </c:bubbleChart>
      <c:valAx>
        <c:axId val="165751320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657521904"/>
        <c:crosses val="autoZero"/>
        <c:crossBetween val="midCat"/>
        <c:majorUnit val="1"/>
        <c:minorUnit val="0.1"/>
      </c:valAx>
      <c:valAx>
        <c:axId val="165752190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65751320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8300-4A2B-A851-524E187F8447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8300-4A2B-A851-524E187F8447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8300-4A2B-A851-524E187F844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8300-4A2B-A851-524E187F8447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8300-4A2B-A851-524E187F8447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8300-4A2B-A851-524E187F8447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8300-4A2B-A851-524E187F8447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8300-4A2B-A851-524E187F8447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8300-4A2B-A851-524E187F8447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8300-4A2B-A851-524E187F8447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8300-4A2B-A851-524E187F8447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8300-4A2B-A851-524E187F8447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8300-4A2B-A851-524E187F8447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8300-4A2B-A851-524E187F8447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8300-4A2B-A851-524E187F8447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8300-4A2B-A851-524E187F8447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8300-4A2B-A851-524E187F8447}"/>
                </c:ext>
              </c:extLst>
            </c:dLbl>
            <c:dLbl>
              <c:idx val="2"/>
              <c:layout>
                <c:manualLayout>
                  <c:x val="-0.14904891568317713"/>
                  <c:y val="-2.103322450547340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8300-4A2B-A851-524E187F844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8300-4A2B-A851-524E187F8447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1.5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8300-4A2B-A851-524E187F8447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8300-4A2B-A851-524E187F8447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8300-4A2B-A851-524E187F8447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8300-4A2B-A851-524E187F8447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8300-4A2B-A851-524E187F8447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8300-4A2B-A851-524E187F844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8300-4A2B-A851-524E187F8447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8300-4A2B-A851-524E187F8447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8300-4A2B-A851-524E187F8447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8300-4A2B-A851-524E187F8447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8300-4A2B-A851-524E187F8447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Chances!$A$151:$A$153</c:f>
              <c:numCache>
                <c:formatCode>General</c:formatCode>
                <c:ptCount val="3"/>
                <c:pt idx="0">
                  <c:v>10</c:v>
                </c:pt>
                <c:pt idx="1">
                  <c:v>4</c:v>
                </c:pt>
                <c:pt idx="2">
                  <c:v>10</c:v>
                </c:pt>
              </c:numCache>
            </c:numRef>
          </c:xVal>
          <c:yVal>
            <c:numRef>
              <c:f>Chances!$B$151:$B$153</c:f>
              <c:numCache>
                <c:formatCode>General</c:formatCode>
                <c:ptCount val="3"/>
                <c:pt idx="0">
                  <c:v>3</c:v>
                </c:pt>
                <c:pt idx="1">
                  <c:v>4</c:v>
                </c:pt>
                <c:pt idx="2">
                  <c:v>2</c:v>
                </c:pt>
              </c:numCache>
            </c:numRef>
          </c:yVal>
          <c:bubbleSize>
            <c:numRef>
              <c:f>Chances!$C$151:$C$153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8300-4A2B-A851-524E187F84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57509936"/>
        <c:axId val="1657515376"/>
      </c:bubbleChart>
      <c:valAx>
        <c:axId val="165750993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657515376"/>
        <c:crosses val="autoZero"/>
        <c:crossBetween val="midCat"/>
        <c:majorUnit val="1"/>
        <c:minorUnit val="0.1"/>
      </c:valAx>
      <c:valAx>
        <c:axId val="165751537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65750993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E1BF-42AE-A467-D536F8DB0E2E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1BF-42AE-A467-D536F8DB0E2E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1BF-42AE-A467-D536F8DB0E2E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1BF-42AE-A467-D536F8DB0E2E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E1BF-42AE-A467-D536F8DB0E2E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E1BF-42AE-A467-D536F8DB0E2E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E1BF-42AE-A467-D536F8DB0E2E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E1BF-42AE-A467-D536F8DB0E2E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E1BF-42AE-A467-D536F8DB0E2E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E1BF-42AE-A467-D536F8DB0E2E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1BF-42AE-A467-D536F8DB0E2E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E1BF-42AE-A467-D536F8DB0E2E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E1BF-42AE-A467-D536F8DB0E2E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E1BF-42AE-A467-D536F8DB0E2E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E1BF-42AE-A467-D536F8DB0E2E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E1BF-42AE-A467-D536F8DB0E2E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E1BF-42AE-A467-D536F8DB0E2E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E1BF-42AE-A467-D536F8DB0E2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4.4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E1BF-42AE-A467-D536F8DB0E2E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E1BF-42AE-A467-D536F8DB0E2E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E1BF-42AE-A467-D536F8DB0E2E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E1BF-42AE-A467-D536F8DB0E2E}"/>
                </c:ext>
              </c:extLst>
            </c:dLbl>
            <c:dLbl>
              <c:idx val="7"/>
              <c:layout>
                <c:manualLayout>
                  <c:x val="-0.14591873639093092"/>
                  <c:y val="2.3701427565457353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E1BF-42AE-A467-D536F8DB0E2E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E1BF-42AE-A467-D536F8DB0E2E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E1BF-42AE-A467-D536F8DB0E2E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E1BF-42AE-A467-D536F8DB0E2E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E1BF-42AE-A467-D536F8DB0E2E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E1BF-42AE-A467-D536F8DB0E2E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E1BF-42AE-A467-D536F8DB0E2E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E1BF-42AE-A467-D536F8DB0E2E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Chances!$A$155:$A$162</c:f>
              <c:numCache>
                <c:formatCode>General</c:formatCode>
                <c:ptCount val="8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</c:numCache>
            </c:numRef>
          </c:xVal>
          <c:yVal>
            <c:numRef>
              <c:f>Chances!$B$155:$B$162</c:f>
              <c:numCache>
                <c:formatCode>General</c:formatCode>
                <c:ptCount val="8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</c:numCache>
            </c:numRef>
          </c:yVal>
          <c:bubbleSize>
            <c:numRef>
              <c:f>Chances!$C$155:$C$162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E1BF-42AE-A467-D536F8DB0E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57518640"/>
        <c:axId val="1657511568"/>
      </c:bubbleChart>
      <c:valAx>
        <c:axId val="165751864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657511568"/>
        <c:crosses val="autoZero"/>
        <c:crossBetween val="midCat"/>
        <c:majorUnit val="1"/>
        <c:minorUnit val="0.1"/>
      </c:valAx>
      <c:valAx>
        <c:axId val="165751156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65751864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CA97-4626-A538-CE9B9F5A0D8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CA97-4626-A538-CE9B9F5A0D8D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CA97-4626-A538-CE9B9F5A0D8D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CA97-4626-A538-CE9B9F5A0D8D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CA97-4626-A538-CE9B9F5A0D8D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A97-4626-A538-CE9B9F5A0D8D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CA97-4626-A538-CE9B9F5A0D8D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CA97-4626-A538-CE9B9F5A0D8D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CA97-4626-A538-CE9B9F5A0D8D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CA97-4626-A538-CE9B9F5A0D8D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CA97-4626-A538-CE9B9F5A0D8D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CA97-4626-A538-CE9B9F5A0D8D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CA97-4626-A538-CE9B9F5A0D8D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CA97-4626-A538-CE9B9F5A0D8D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CA97-4626-A538-CE9B9F5A0D8D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A97-4626-A538-CE9B9F5A0D8D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A97-4626-A538-CE9B9F5A0D8D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A97-4626-A538-CE9B9F5A0D8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5.4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A97-4626-A538-CE9B9F5A0D8D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A97-4626-A538-CE9B9F5A0D8D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A97-4626-A538-CE9B9F5A0D8D}"/>
                </c:ext>
              </c:extLst>
            </c:dLbl>
            <c:dLbl>
              <c:idx val="6"/>
              <c:layout>
                <c:manualLayout>
                  <c:x val="-0.16153002924688886"/>
                  <c:y val="-6.504065040650406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A97-4626-A538-CE9B9F5A0D8D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A97-4626-A538-CE9B9F5A0D8D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A97-4626-A538-CE9B9F5A0D8D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A97-4626-A538-CE9B9F5A0D8D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A97-4626-A538-CE9B9F5A0D8D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A97-4626-A538-CE9B9F5A0D8D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CA97-4626-A538-CE9B9F5A0D8D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CA97-4626-A538-CE9B9F5A0D8D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CA97-4626-A538-CE9B9F5A0D8D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Chances!$A$164:$A$170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Chances!$B$164:$B$170</c:f>
              <c:numCache>
                <c:formatCode>General</c:formatCode>
                <c:ptCount val="7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</c:numCache>
            </c:numRef>
          </c:yVal>
          <c:bubbleSize>
            <c:numRef>
              <c:f>Chances!$C$164:$C$170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CA97-4626-A538-CE9B9F5A0D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57513744"/>
        <c:axId val="1657514288"/>
      </c:bubbleChart>
      <c:valAx>
        <c:axId val="165751374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657514288"/>
        <c:crosses val="autoZero"/>
        <c:crossBetween val="midCat"/>
        <c:majorUnit val="1"/>
        <c:minorUnit val="0.1"/>
      </c:valAx>
      <c:valAx>
        <c:axId val="165751428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65751374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D560-4502-B1DC-2B17C1C27A0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D560-4502-B1DC-2B17C1C27A0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D560-4502-B1DC-2B17C1C27A0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D560-4502-B1DC-2B17C1C27A00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D560-4502-B1DC-2B17C1C27A00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D560-4502-B1DC-2B17C1C27A00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D560-4502-B1DC-2B17C1C27A00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D560-4502-B1DC-2B17C1C27A00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560-4502-B1DC-2B17C1C27A00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D560-4502-B1DC-2B17C1C27A00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D560-4502-B1DC-2B17C1C27A00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D560-4502-B1DC-2B17C1C27A00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D560-4502-B1DC-2B17C1C27A00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D560-4502-B1DC-2B17C1C27A00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D560-4502-B1DC-2B17C1C27A00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D560-4502-B1DC-2B17C1C27A00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D560-4502-B1DC-2B17C1C27A00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D560-4502-B1DC-2B17C1C27A0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6.4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D560-4502-B1DC-2B17C1C27A00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D560-4502-B1DC-2B17C1C27A00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D560-4502-B1DC-2B17C1C27A00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D560-4502-B1DC-2B17C1C27A00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D560-4502-B1DC-2B17C1C27A00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D560-4502-B1DC-2B17C1C27A00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D560-4502-B1DC-2B17C1C27A0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D560-4502-B1DC-2B17C1C27A00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D560-4502-B1DC-2B17C1C27A00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D560-4502-B1DC-2B17C1C27A00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D560-4502-B1DC-2B17C1C27A00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D560-4502-B1DC-2B17C1C27A00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Chances!$A$172:$A$178</c:f>
              <c:numCache>
                <c:formatCode>General</c:formatCode>
                <c:ptCount val="7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1</c:v>
                </c:pt>
              </c:numCache>
            </c:numRef>
          </c:xVal>
          <c:yVal>
            <c:numRef>
              <c:f>Chances!$B$172:$B$178</c:f>
              <c:numCache>
                <c:formatCode>General</c:formatCode>
                <c:ptCount val="7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</c:numCache>
            </c:numRef>
          </c:yVal>
          <c:bubbleSize>
            <c:numRef>
              <c:f>Chances!$C$172:$C$178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D560-4502-B1DC-2B17C1C27A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485363760"/>
        <c:axId val="1761047552"/>
      </c:bubbleChart>
      <c:valAx>
        <c:axId val="148536376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761047552"/>
        <c:crosses val="autoZero"/>
        <c:crossBetween val="midCat"/>
        <c:majorUnit val="1"/>
        <c:minorUnit val="0.1"/>
      </c:valAx>
      <c:valAx>
        <c:axId val="176104755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48536376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E631-458C-8B15-0A3ABA019A95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631-458C-8B15-0A3ABA019A95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631-458C-8B15-0A3ABA019A95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631-458C-8B15-0A3ABA019A95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E631-458C-8B15-0A3ABA019A95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E631-458C-8B15-0A3ABA019A95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E631-458C-8B15-0A3ABA019A95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E631-458C-8B15-0A3ABA019A95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E631-458C-8B15-0A3ABA019A95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E631-458C-8B15-0A3ABA019A95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631-458C-8B15-0A3ABA019A95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E631-458C-8B15-0A3ABA019A95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E631-458C-8B15-0A3ABA019A95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E631-458C-8B15-0A3ABA019A95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E631-458C-8B15-0A3ABA019A95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E631-458C-8B15-0A3ABA019A95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E631-458C-8B15-0A3ABA019A95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E631-458C-8B15-0A3ABA019A9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7.4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E631-458C-8B15-0A3ABA019A95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E631-458C-8B15-0A3ABA019A95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E631-458C-8B15-0A3ABA019A95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E631-458C-8B15-0A3ABA019A95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E631-458C-8B15-0A3ABA019A95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E631-458C-8B15-0A3ABA019A95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E631-458C-8B15-0A3ABA019A95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E631-458C-8B15-0A3ABA019A95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E631-458C-8B15-0A3ABA019A95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E631-458C-8B15-0A3ABA019A95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E631-458C-8B15-0A3ABA019A95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E631-458C-8B15-0A3ABA019A95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Chances!$A$180:$A$185</c:f>
              <c:numCache>
                <c:formatCode>General</c:formatCode>
                <c:ptCount val="6"/>
                <c:pt idx="0">
                  <c:v>9</c:v>
                </c:pt>
                <c:pt idx="1">
                  <c:v>8</c:v>
                </c:pt>
                <c:pt idx="2">
                  <c:v>7</c:v>
                </c:pt>
                <c:pt idx="3">
                  <c:v>6</c:v>
                </c:pt>
                <c:pt idx="4">
                  <c:v>5</c:v>
                </c:pt>
                <c:pt idx="5">
                  <c:v>4</c:v>
                </c:pt>
              </c:numCache>
            </c:numRef>
          </c:xVal>
          <c:yVal>
            <c:numRef>
              <c:f>Chances!$B$180:$B$185</c:f>
              <c:numCache>
                <c:formatCode>General</c:formatCode>
                <c:ptCount val="6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</c:numCache>
            </c:numRef>
          </c:yVal>
          <c:bubbleSize>
            <c:numRef>
              <c:f>Chances!$C$180:$C$185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E631-458C-8B15-0A3ABA019A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60809824"/>
        <c:axId val="1660816896"/>
      </c:bubbleChart>
      <c:valAx>
        <c:axId val="166080982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660816896"/>
        <c:crosses val="autoZero"/>
        <c:crossBetween val="midCat"/>
        <c:majorUnit val="1"/>
        <c:minorUnit val="0.1"/>
      </c:valAx>
      <c:valAx>
        <c:axId val="166081689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66080982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99B6-4FFA-97AE-58301175556F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99B6-4FFA-97AE-58301175556F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99B6-4FFA-97AE-58301175556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99B6-4FFA-97AE-58301175556F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99B6-4FFA-97AE-58301175556F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99B6-4FFA-97AE-58301175556F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99B6-4FFA-97AE-58301175556F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99B6-4FFA-97AE-58301175556F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99B6-4FFA-97AE-58301175556F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99B6-4FFA-97AE-58301175556F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99B6-4FFA-97AE-58301175556F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99B6-4FFA-97AE-58301175556F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99B6-4FFA-97AE-58301175556F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99B6-4FFA-97AE-58301175556F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99B6-4FFA-97AE-58301175556F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99B6-4FFA-97AE-58301175556F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99B6-4FFA-97AE-58301175556F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99B6-4FFA-97AE-58301175556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8.4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99B6-4FFA-97AE-58301175556F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99B6-4FFA-97AE-58301175556F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99B6-4FFA-97AE-58301175556F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99B6-4FFA-97AE-58301175556F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99B6-4FFA-97AE-58301175556F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99B6-4FFA-97AE-58301175556F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99B6-4FFA-97AE-58301175556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99B6-4FFA-97AE-58301175556F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99B6-4FFA-97AE-58301175556F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99B6-4FFA-97AE-58301175556F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99B6-4FFA-97AE-58301175556F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99B6-4FFA-97AE-58301175556F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Chances!$A$187:$A$191</c:f>
              <c:numCache>
                <c:formatCode>General</c:formatCode>
                <c:ptCount val="5"/>
                <c:pt idx="0">
                  <c:v>8</c:v>
                </c:pt>
                <c:pt idx="1">
                  <c:v>5</c:v>
                </c:pt>
                <c:pt idx="2">
                  <c:v>2</c:v>
                </c:pt>
                <c:pt idx="3">
                  <c:v>6</c:v>
                </c:pt>
                <c:pt idx="4">
                  <c:v>7</c:v>
                </c:pt>
              </c:numCache>
            </c:numRef>
          </c:xVal>
          <c:yVal>
            <c:numRef>
              <c:f>Chances!$B$187:$B$191</c:f>
              <c:numCache>
                <c:formatCode>General</c:formatCode>
                <c:ptCount val="5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</c:numCache>
            </c:numRef>
          </c:yVal>
          <c:bubbleSize>
            <c:numRef>
              <c:f>Chances!$C$187:$C$191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99B6-4FFA-97AE-5830117555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60814720"/>
        <c:axId val="1660810368"/>
      </c:bubbleChart>
      <c:valAx>
        <c:axId val="166081472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660810368"/>
        <c:crosses val="autoZero"/>
        <c:crossBetween val="midCat"/>
        <c:majorUnit val="1"/>
        <c:minorUnit val="0.1"/>
      </c:valAx>
      <c:valAx>
        <c:axId val="166081036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66081472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E773-4694-8DAE-C9AB53A31CDA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773-4694-8DAE-C9AB53A31CDA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773-4694-8DAE-C9AB53A31CDA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773-4694-8DAE-C9AB53A31CDA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E773-4694-8DAE-C9AB53A31CDA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E773-4694-8DAE-C9AB53A31CDA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E773-4694-8DAE-C9AB53A31CDA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E773-4694-8DAE-C9AB53A31CDA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E773-4694-8DAE-C9AB53A31CDA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E773-4694-8DAE-C9AB53A31CDA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773-4694-8DAE-C9AB53A31CDA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E773-4694-8DAE-C9AB53A31CDA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E773-4694-8DAE-C9AB53A31CDA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E773-4694-8DAE-C9AB53A31CDA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E773-4694-8DAE-C9AB53A31CDA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E773-4694-8DAE-C9AB53A31CDA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E773-4694-8DAE-C9AB53A31CDA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E773-4694-8DAE-C9AB53A31CD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9.4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E773-4694-8DAE-C9AB53A31CDA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E773-4694-8DAE-C9AB53A31CDA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E773-4694-8DAE-C9AB53A31CDA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E773-4694-8DAE-C9AB53A31CDA}"/>
                </c:ext>
              </c:extLst>
            </c:dLbl>
            <c:dLbl>
              <c:idx val="7"/>
              <c:layout>
                <c:manualLayout>
                  <c:x val="-0.16015361715418955"/>
                  <c:y val="2.370142756545675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E773-4694-8DAE-C9AB53A31CDA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E773-4694-8DAE-C9AB53A31CDA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E773-4694-8DAE-C9AB53A31CD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E773-4694-8DAE-C9AB53A31CDA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E773-4694-8DAE-C9AB53A31CDA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E773-4694-8DAE-C9AB53A31CDA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E773-4694-8DAE-C9AB53A31CDA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E773-4694-8DAE-C9AB53A31CDA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Chances!$A$193:$A$200</c:f>
              <c:numCache>
                <c:formatCode>General</c:formatCode>
                <c:ptCount val="8"/>
                <c:pt idx="0">
                  <c:v>10</c:v>
                </c:pt>
                <c:pt idx="1">
                  <c:v>7</c:v>
                </c:pt>
                <c:pt idx="2">
                  <c:v>5</c:v>
                </c:pt>
                <c:pt idx="3">
                  <c:v>6</c:v>
                </c:pt>
                <c:pt idx="4">
                  <c:v>9</c:v>
                </c:pt>
                <c:pt idx="5">
                  <c:v>6</c:v>
                </c:pt>
                <c:pt idx="6">
                  <c:v>10</c:v>
                </c:pt>
                <c:pt idx="7">
                  <c:v>10</c:v>
                </c:pt>
              </c:numCache>
            </c:numRef>
          </c:xVal>
          <c:yVal>
            <c:numRef>
              <c:f>Chances!$B$193:$B$200</c:f>
              <c:numCache>
                <c:formatCode>General</c:formatCode>
                <c:ptCount val="8"/>
                <c:pt idx="0">
                  <c:v>5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5</c:v>
                </c:pt>
                <c:pt idx="7">
                  <c:v>2</c:v>
                </c:pt>
              </c:numCache>
            </c:numRef>
          </c:yVal>
          <c:bubbleSize>
            <c:numRef>
              <c:f>Chances!$C$193:$C$200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E773-4694-8DAE-C9AB53A31C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60810912"/>
        <c:axId val="1660793504"/>
      </c:bubbleChart>
      <c:valAx>
        <c:axId val="1660810912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660793504"/>
        <c:crosses val="autoZero"/>
        <c:crossBetween val="midCat"/>
        <c:majorUnit val="1"/>
        <c:minorUnit val="0.1"/>
      </c:valAx>
      <c:valAx>
        <c:axId val="166079350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66081091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Chances!$F$133</c:f>
              <c:strCache>
                <c:ptCount val="1"/>
                <c:pt idx="0">
                  <c:v>Anzahl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2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Chances!$E$134:$E$138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Chances!$F$134:$F$138</c:f>
              <c:numCache>
                <c:formatCode>General</c:formatCode>
                <c:ptCount val="5"/>
                <c:pt idx="0">
                  <c:v>5</c:v>
                </c:pt>
                <c:pt idx="1">
                  <c:v>17</c:v>
                </c:pt>
                <c:pt idx="2">
                  <c:v>15</c:v>
                </c:pt>
                <c:pt idx="3">
                  <c:v>11</c:v>
                </c:pt>
                <c:pt idx="4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99-45D1-9096-2F8365F06A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0796224"/>
        <c:axId val="1660816352"/>
      </c:barChart>
      <c:catAx>
        <c:axId val="16607962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660816352"/>
        <c:crosses val="autoZero"/>
        <c:auto val="1"/>
        <c:lblAlgn val="ctr"/>
        <c:lblOffset val="100"/>
        <c:noMultiLvlLbl val="0"/>
      </c:catAx>
      <c:valAx>
        <c:axId val="1660816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6607962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493797177062777E-2"/>
          <c:y val="9.4893660531241791E-2"/>
          <c:w val="0.83053562479904297"/>
          <c:h val="0.674909426824440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Prozesse!$B$29:$B$48</c:f>
              <c:strCache>
                <c:ptCount val="7"/>
                <c:pt idx="0">
                  <c:v>Process 2</c:v>
                </c:pt>
                <c:pt idx="1">
                  <c:v>Process 7</c:v>
                </c:pt>
                <c:pt idx="2">
                  <c:v>Process 6</c:v>
                </c:pt>
                <c:pt idx="3">
                  <c:v>Process 3</c:v>
                </c:pt>
                <c:pt idx="4">
                  <c:v>Process 5</c:v>
                </c:pt>
                <c:pt idx="5">
                  <c:v>Process 1</c:v>
                </c:pt>
                <c:pt idx="6">
                  <c:v>Process 4</c:v>
                </c:pt>
              </c:strCache>
            </c:strRef>
          </c:cat>
          <c:val>
            <c:numRef>
              <c:f>Prozesse!$C$29:$C$48</c:f>
              <c:numCache>
                <c:formatCode>General</c:formatCode>
                <c:ptCount val="20"/>
                <c:pt idx="0">
                  <c:v>10</c:v>
                </c:pt>
                <c:pt idx="1">
                  <c:v>10</c:v>
                </c:pt>
                <c:pt idx="2">
                  <c:v>9</c:v>
                </c:pt>
                <c:pt idx="3">
                  <c:v>5</c:v>
                </c:pt>
                <c:pt idx="4">
                  <c:v>3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6E-45B9-88E4-DA81339D57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0806016"/>
        <c:axId val="1660814176"/>
      </c:barChart>
      <c:lineChart>
        <c:grouping val="standard"/>
        <c:varyColors val="0"/>
        <c:ser>
          <c:idx val="1"/>
          <c:order val="1"/>
          <c:tx>
            <c:strRef>
              <c:f>Prozesse!$E$28</c:f>
              <c:strCache>
                <c:ptCount val="1"/>
                <c:pt idx="0">
                  <c:v>Percentage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Prozesse!$E$29:$E$48</c:f>
              <c:numCache>
                <c:formatCode>0%</c:formatCode>
                <c:ptCount val="20"/>
                <c:pt idx="0">
                  <c:v>0.25641025641025639</c:v>
                </c:pt>
                <c:pt idx="1">
                  <c:v>0.51282051282051277</c:v>
                </c:pt>
                <c:pt idx="2">
                  <c:v>0.74358974358974361</c:v>
                </c:pt>
                <c:pt idx="3">
                  <c:v>0.87179487179487181</c:v>
                </c:pt>
                <c:pt idx="4">
                  <c:v>0.94871794871794868</c:v>
                </c:pt>
                <c:pt idx="5">
                  <c:v>0.97435897435897434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6E-45B9-88E4-DA81339D57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0801120"/>
        <c:axId val="1660798944"/>
      </c:lineChart>
      <c:catAx>
        <c:axId val="166080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814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0814176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806016"/>
        <c:crosses val="autoZero"/>
        <c:crossBetween val="between"/>
      </c:valAx>
      <c:catAx>
        <c:axId val="1660801120"/>
        <c:scaling>
          <c:orientation val="minMax"/>
        </c:scaling>
        <c:delete val="1"/>
        <c:axPos val="b"/>
        <c:majorTickMark val="none"/>
        <c:minorTickMark val="none"/>
        <c:tickLblPos val="nextTo"/>
        <c:crossAx val="1660798944"/>
        <c:crosses val="autoZero"/>
        <c:auto val="1"/>
        <c:lblAlgn val="ctr"/>
        <c:lblOffset val="100"/>
        <c:noMultiLvlLbl val="0"/>
      </c:catAx>
      <c:valAx>
        <c:axId val="1660798944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80112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 verticalDpi="1200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988473156183941E-2"/>
          <c:y val="1.8661835657191927E-2"/>
          <c:w val="0.8940788423344892"/>
          <c:h val="0.93655514293398667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352-4B72-AAD6-5343D97943FA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352-4B72-AAD6-5343D97943FA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352-4B72-AAD6-5343D97943FA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352-4B72-AAD6-5343D97943FA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352-4B72-AAD6-5343D97943FA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352-4B72-AAD6-5343D97943FA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352-4B72-AAD6-5343D97943FA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352-4B72-AAD6-5343D97943FA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352-4B72-AAD6-5343D97943FA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352-4B72-AAD6-5343D97943FA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352-4B72-AAD6-5343D97943FA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352-4B72-AAD6-5343D97943FA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352-4B72-AAD6-5343D97943FA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352-4B72-AAD6-5343D97943FA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A352-4B72-AAD6-5343D97943FA}"/>
              </c:ext>
            </c:extLst>
          </c:dPt>
          <c:dLbls>
            <c:dLbl>
              <c:idx val="0"/>
              <c:layout>
                <c:manualLayout>
                  <c:x val="-0.12115817547764009"/>
                  <c:y val="0"/>
                </c:manualLayout>
              </c:layout>
              <c:tx>
                <c:strRef>
                  <c:f>Personal!$B$5</c:f>
                  <c:strCache>
                    <c:ptCount val="1"/>
                    <c:pt idx="0">
                      <c:v>p1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{36F32900-7064-44E2-93ED-07F7EAF049A4}</c15:txfldGUID>
                      <c15:f>Personal!$B$5</c15:f>
                      <c15:dlblFieldTableCache>
                        <c:ptCount val="1"/>
                        <c:pt idx="0">
                          <c:v>p1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A352-4B72-AAD6-5343D97943FA}"/>
                </c:ext>
              </c:extLst>
            </c:dLbl>
            <c:dLbl>
              <c:idx val="1"/>
              <c:layout>
                <c:manualLayout>
                  <c:x val="-0.1154842611424285"/>
                  <c:y val="0"/>
                </c:manualLayout>
              </c:layout>
              <c:tx>
                <c:strRef>
                  <c:f>Personal!$B$6</c:f>
                  <c:strCache>
                    <c:ptCount val="1"/>
                    <c:pt idx="0">
                      <c:v>p2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{3FB202D7-5A3E-47C8-8FEF-5EC89969D111}</c15:txfldGUID>
                      <c15:f>Personal!$B$6</c15:f>
                      <c15:dlblFieldTableCache>
                        <c:ptCount val="1"/>
                        <c:pt idx="0">
                          <c:v>p2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A352-4B72-AAD6-5343D97943FA}"/>
                </c:ext>
              </c:extLst>
            </c:dLbl>
            <c:dLbl>
              <c:idx val="2"/>
              <c:layout>
                <c:manualLayout>
                  <c:x val="-0.13897813845274293"/>
                  <c:y val="1.0499622265317761E-2"/>
                </c:manualLayout>
              </c:layout>
              <c:tx>
                <c:strRef>
                  <c:f>Personal!$B$7</c:f>
                  <c:strCache>
                    <c:ptCount val="1"/>
                    <c:pt idx="0">
                      <c:v>p3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{C2DF26BA-743A-45F1-84DB-D9A313FD82B1}</c15:txfldGUID>
                      <c15:f>Personal!$B$7</c15:f>
                      <c15:dlblFieldTableCache>
                        <c:ptCount val="1"/>
                        <c:pt idx="0">
                          <c:v>p3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A352-4B72-AAD6-5343D97943FA}"/>
                </c:ext>
              </c:extLst>
            </c:dLbl>
            <c:dLbl>
              <c:idx val="3"/>
              <c:layout>
                <c:manualLayout>
                  <c:x val="-9.0939443846193138E-2"/>
                  <c:y val="-2.5517730165035011E-3"/>
                </c:manualLayout>
              </c:layout>
              <c:tx>
                <c:strRef>
                  <c:f>Personal!$B$8</c:f>
                  <c:strCache>
                    <c:ptCount val="1"/>
                    <c:pt idx="0">
                      <c:v>p4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{707377B5-7424-4566-9D5D-008E8D1DA441}</c15:txfldGUID>
                      <c15:f>Personal!$B$8</c15:f>
                      <c15:dlblFieldTableCache>
                        <c:ptCount val="1"/>
                        <c:pt idx="0">
                          <c:v>p4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A352-4B72-AAD6-5343D97943FA}"/>
                </c:ext>
              </c:extLst>
            </c:dLbl>
            <c:dLbl>
              <c:idx val="4"/>
              <c:layout>
                <c:manualLayout>
                  <c:x val="-0.12287509302017695"/>
                  <c:y val="1.3952662445384238E-2"/>
                </c:manualLayout>
              </c:layout>
              <c:tx>
                <c:strRef>
                  <c:f>Personal!$B$9</c:f>
                  <c:strCache>
                    <c:ptCount val="1"/>
                    <c:pt idx="0">
                      <c:v>p5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{757C7A25-238D-44F4-B2E0-DDD511764676}</c15:txfldGUID>
                      <c15:f>Personal!$B$9</c15:f>
                      <c15:dlblFieldTableCache>
                        <c:ptCount val="1"/>
                        <c:pt idx="0">
                          <c:v>p5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A352-4B72-AAD6-5343D97943FA}"/>
                </c:ext>
              </c:extLst>
            </c:dLbl>
            <c:dLbl>
              <c:idx val="5"/>
              <c:layout>
                <c:manualLayout>
                  <c:x val="-0.14533772694471586"/>
                  <c:y val="1.4749262536873156E-2"/>
                </c:manualLayout>
              </c:layout>
              <c:tx>
                <c:strRef>
                  <c:f>Personal!$B$10</c:f>
                  <c:strCache>
                    <c:ptCount val="1"/>
                    <c:pt idx="0">
                      <c:v>p6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{D6753138-1B79-47CD-8B69-CDDA1917223B}</c15:txfldGUID>
                      <c15:f>Personal!$B$10</c15:f>
                      <c15:dlblFieldTableCache>
                        <c:ptCount val="1"/>
                        <c:pt idx="0">
                          <c:v>p6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A352-4B72-AAD6-5343D97943FA}"/>
                </c:ext>
              </c:extLst>
            </c:dLbl>
            <c:dLbl>
              <c:idx val="6"/>
              <c:tx>
                <c:strRef>
                  <c:f>Personal!$B$11</c:f>
                  <c:strCache>
                    <c:ptCount val="1"/>
                    <c:pt idx="0">
                      <c:v>p7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{9D18E7EC-3065-4C17-B17E-2AE6DC259901}</c15:txfldGUID>
                      <c15:f>Personal!$B$11</c15:f>
                      <c15:dlblFieldTableCache>
                        <c:ptCount val="1"/>
                        <c:pt idx="0">
                          <c:v>p7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A352-4B72-AAD6-5343D97943FA}"/>
                </c:ext>
              </c:extLst>
            </c:dLbl>
            <c:dLbl>
              <c:idx val="7"/>
              <c:layout>
                <c:manualLayout>
                  <c:x val="-0.19249918577696037"/>
                  <c:y val="-8.8495575221238937E-3"/>
                </c:manualLayout>
              </c:layout>
              <c:tx>
                <c:strRef>
                  <c:f>Personal!$B$12</c:f>
                  <c:strCache>
                    <c:ptCount val="1"/>
                    <c:pt idx="0">
                      <c:v>p8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{FE64AE41-3CF8-4F63-A458-F7B8A8C9F89A}</c15:txfldGUID>
                      <c15:f>Personal!$B$12</c15:f>
                      <c15:dlblFieldTableCache>
                        <c:ptCount val="1"/>
                        <c:pt idx="0">
                          <c:v>p8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A352-4B72-AAD6-5343D97943FA}"/>
                </c:ext>
              </c:extLst>
            </c:dLbl>
            <c:dLbl>
              <c:idx val="8"/>
              <c:layout>
                <c:manualLayout>
                  <c:x val="-0.13391584527697264"/>
                  <c:y val="2.9148656121248937E-3"/>
                </c:manualLayout>
              </c:layout>
              <c:tx>
                <c:strRef>
                  <c:f>Personal!$B$13</c:f>
                  <c:strCache>
                    <c:ptCount val="1"/>
                    <c:pt idx="0">
                      <c:v>p9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{F99F95BC-5CBF-400C-8645-1F93194C54EE}</c15:txfldGUID>
                      <c15:f>Personal!$B$13</c15:f>
                      <c15:dlblFieldTableCache>
                        <c:ptCount val="1"/>
                        <c:pt idx="0">
                          <c:v>p9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A352-4B72-AAD6-5343D97943FA}"/>
                </c:ext>
              </c:extLst>
            </c:dLbl>
            <c:dLbl>
              <c:idx val="9"/>
              <c:layout>
                <c:manualLayout>
                  <c:x val="-0.14014687545281485"/>
                  <c:y val="-1.1869436201780416E-2"/>
                </c:manualLayout>
              </c:layout>
              <c:tx>
                <c:strRef>
                  <c:f>Personal!$B$14</c:f>
                  <c:strCache>
                    <c:ptCount val="1"/>
                    <c:pt idx="0">
                      <c:v>p10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{616E6B90-784C-4587-9461-BDCC4DDAA916}</c15:txfldGUID>
                      <c15:f>Personal!$B$14</c15:f>
                      <c15:dlblFieldTableCache>
                        <c:ptCount val="1"/>
                        <c:pt idx="0">
                          <c:v>p10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A352-4B72-AAD6-5343D97943FA}"/>
                </c:ext>
              </c:extLst>
            </c:dLbl>
            <c:dLbl>
              <c:idx val="10"/>
              <c:layout>
                <c:manualLayout>
                  <c:x val="-0.14232276947779585"/>
                  <c:y val="2.0132869148032691E-3"/>
                </c:manualLayout>
              </c:layout>
              <c:tx>
                <c:strRef>
                  <c:f>Personal!$B$15</c:f>
                  <c:strCache>
                    <c:ptCount val="1"/>
                    <c:pt idx="0">
                      <c:v>p11</c:v>
                    </c:pt>
                  </c:strCache>
                </c:strRef>
              </c:tx>
              <c:numFmt formatCode="General" sourceLinked="0"/>
              <c:spPr>
                <a:ln>
                  <a:noFill/>
                </a:ln>
              </c:spPr>
              <c:txPr>
                <a:bodyPr rot="0" anchor="ctr" anchorCtr="1"/>
                <a:lstStyle/>
                <a:p>
                  <a:pPr algn="ctr" rtl="0">
                    <a:defRPr lang="en-US" sz="18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{2713DB02-6C94-4647-BEFC-5E6BA21857AE}</c15:txfldGUID>
                      <c15:f>Personal!$B$15</c15:f>
                      <c15:dlblFieldTableCache>
                        <c:ptCount val="1"/>
                        <c:pt idx="0">
                          <c:v>p11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A352-4B72-AAD6-5343D97943FA}"/>
                </c:ext>
              </c:extLst>
            </c:dLbl>
            <c:dLbl>
              <c:idx val="11"/>
              <c:layout>
                <c:manualLayout>
                  <c:x val="-0.14379873181313135"/>
                  <c:y val="8.8495837130151012E-3"/>
                </c:manualLayout>
              </c:layout>
              <c:tx>
                <c:strRef>
                  <c:f>Personal!$B$16</c:f>
                  <c:strCache>
                    <c:ptCount val="1"/>
                    <c:pt idx="0">
                      <c:v>p12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{0706281B-2E52-4ADB-A2FE-53493F8DCEA1}</c15:txfldGUID>
                      <c15:f>Personal!$B$16</c15:f>
                      <c15:dlblFieldTableCache>
                        <c:ptCount val="1"/>
                        <c:pt idx="0">
                          <c:v>p12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A352-4B72-AAD6-5343D97943FA}"/>
                </c:ext>
              </c:extLst>
            </c:dLbl>
            <c:dLbl>
              <c:idx val="12"/>
              <c:layout>
                <c:manualLayout>
                  <c:x val="-0.15042782952225492"/>
                  <c:y val="-3.0198524887653138E-3"/>
                </c:manualLayout>
              </c:layout>
              <c:tx>
                <c:strRef>
                  <c:f>Personal!$B$17</c:f>
                  <c:strCache>
                    <c:ptCount val="1"/>
                    <c:pt idx="0">
                      <c:v>p13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{E42A28FC-617E-491A-B471-68A57BBEFC2D}</c15:txfldGUID>
                      <c15:f>Personal!$B$17</c15:f>
                      <c15:dlblFieldTableCache>
                        <c:ptCount val="1"/>
                        <c:pt idx="0">
                          <c:v>p13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A352-4B72-AAD6-5343D97943FA}"/>
                </c:ext>
              </c:extLst>
            </c:dLbl>
            <c:dLbl>
              <c:idx val="13"/>
              <c:layout>
                <c:manualLayout>
                  <c:x val="-0.12557727610711694"/>
                  <c:y val="-3.8514918572863854E-3"/>
                </c:manualLayout>
              </c:layout>
              <c:tx>
                <c:strRef>
                  <c:f>Personal!$B$18</c:f>
                  <c:strCache>
                    <c:ptCount val="1"/>
                    <c:pt idx="0">
                      <c:v>p14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{26EF26FF-ECD9-4B2F-B42E-C7752B33CB32}</c15:txfldGUID>
                      <c15:f>Personal!$B$18</c15:f>
                      <c15:dlblFieldTableCache>
                        <c:ptCount val="1"/>
                        <c:pt idx="0">
                          <c:v>p14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A352-4B72-AAD6-5343D97943FA}"/>
                </c:ext>
              </c:extLst>
            </c:dLbl>
            <c:dLbl>
              <c:idx val="14"/>
              <c:layout>
                <c:manualLayout>
                  <c:x val="-0.13468413199758569"/>
                  <c:y val="5.8996705530503053E-3"/>
                </c:manualLayout>
              </c:layout>
              <c:tx>
                <c:strRef>
                  <c:f>Personal!$B$19</c:f>
                  <c:strCache>
                    <c:ptCount val="1"/>
                    <c:pt idx="0">
                      <c:v>p15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{BFE780AE-25E2-4DF6-9D4F-DEE26058F8EE}</c15:txfldGUID>
                      <c15:f>Personal!$B$19</c15:f>
                      <c15:dlblFieldTableCache>
                        <c:ptCount val="1"/>
                        <c:pt idx="0">
                          <c:v>p15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A352-4B72-AAD6-5343D97943FA}"/>
                </c:ext>
              </c:extLst>
            </c:dLbl>
            <c:dLbl>
              <c:idx val="15"/>
              <c:layout>
                <c:manualLayout>
                  <c:x val="-0.15875984614012245"/>
                  <c:y val="1.9209015786973215E-2"/>
                </c:manualLayout>
              </c:layout>
              <c:tx>
                <c:strRef>
                  <c:f>Personal!$B$20</c:f>
                  <c:strCache>
                    <c:ptCount val="1"/>
                    <c:pt idx="0">
                      <c:v>p16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{6505E57E-2472-4B48-AD67-80B131D28157}</c15:txfldGUID>
                      <c15:f>Personal!$B$20</c15:f>
                      <c15:dlblFieldTableCache>
                        <c:ptCount val="1"/>
                        <c:pt idx="0">
                          <c:v>p16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A352-4B72-AAD6-5343D97943FA}"/>
                </c:ext>
              </c:extLst>
            </c:dLbl>
            <c:dLbl>
              <c:idx val="16"/>
              <c:layout>
                <c:manualLayout>
                  <c:x val="-0.13325790948870578"/>
                  <c:y val="2.9148656121248937E-3"/>
                </c:manualLayout>
              </c:layout>
              <c:tx>
                <c:strRef>
                  <c:f>Personal!$B$21</c:f>
                  <c:strCache>
                    <c:ptCount val="1"/>
                    <c:pt idx="0">
                      <c:v>p17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{BC9B39DA-4B00-4472-BB0F-5381EAF87AC1}</c15:txfldGUID>
                      <c15:f>Personal!$B$21</c15:f>
                      <c15:dlblFieldTableCache>
                        <c:ptCount val="1"/>
                        <c:pt idx="0">
                          <c:v>p17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A352-4B72-AAD6-5343D97943FA}"/>
                </c:ext>
              </c:extLst>
            </c:dLbl>
            <c:dLbl>
              <c:idx val="17"/>
              <c:layout>
                <c:manualLayout>
                  <c:x val="-0.14763003874494207"/>
                  <c:y val="1.2806062446941907E-2"/>
                </c:manualLayout>
              </c:layout>
              <c:tx>
                <c:strRef>
                  <c:f>Personal!$B$22</c:f>
                  <c:strCache>
                    <c:ptCount val="1"/>
                    <c:pt idx="0">
                      <c:v>p18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{F0A3DC2D-9C44-413C-A084-4179EC6840E9}</c15:txfldGUID>
                      <c15:f>Personal!$B$22</c15:f>
                      <c15:dlblFieldTableCache>
                        <c:ptCount val="1"/>
                        <c:pt idx="0">
                          <c:v>p18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A352-4B72-AAD6-5343D97943FA}"/>
                </c:ext>
              </c:extLst>
            </c:dLbl>
            <c:dLbl>
              <c:idx val="18"/>
              <c:layout>
                <c:manualLayout>
                  <c:x val="-0.14983824876495563"/>
                  <c:y val="9.9612919304967826E-3"/>
                </c:manualLayout>
              </c:layout>
              <c:tx>
                <c:strRef>
                  <c:f>Personal!$B$23</c:f>
                  <c:strCache>
                    <c:ptCount val="1"/>
                    <c:pt idx="0">
                      <c:v>p19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{35EB6585-E65D-4B66-A880-096D37931AF7}</c15:txfldGUID>
                      <c15:f>Personal!$B$23</c15:f>
                      <c15:dlblFieldTableCache>
                        <c:ptCount val="1"/>
                        <c:pt idx="0">
                          <c:v>p19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A352-4B72-AAD6-5343D97943FA}"/>
                </c:ext>
              </c:extLst>
            </c:dLbl>
            <c:dLbl>
              <c:idx val="19"/>
              <c:layout>
                <c:manualLayout>
                  <c:x val="-0.14422911534144528"/>
                  <c:y val="-2.9148656121248937E-3"/>
                </c:manualLayout>
              </c:layout>
              <c:tx>
                <c:strRef>
                  <c:f>Personal!$B$24</c:f>
                  <c:strCache>
                    <c:ptCount val="1"/>
                    <c:pt idx="0">
                      <c:v>p20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{E54DE782-C139-4C3B-86B7-8D350CCBC8CA}</c15:txfldGUID>
                      <c15:f>Personal!$B$24</c15:f>
                      <c15:dlblFieldTableCache>
                        <c:ptCount val="1"/>
                        <c:pt idx="0">
                          <c:v>p20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A352-4B72-AAD6-5343D97943FA}"/>
                </c:ext>
              </c:extLst>
            </c:dLbl>
            <c:numFmt formatCode="General" sourceLinked="0"/>
            <c:spPr>
              <a:ln>
                <a:noFill/>
              </a:ln>
            </c:spPr>
            <c:txPr>
              <a:bodyPr rot="0" anchor="ctr" anchorCtr="1"/>
              <a:lstStyle/>
              <a:p>
                <a:pPr>
                  <a:defRPr sz="18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Personal!$E$5:$E$24</c:f>
              <c:numCache>
                <c:formatCode>0</c:formatCode>
                <c:ptCount val="20"/>
                <c:pt idx="0">
                  <c:v>3</c:v>
                </c:pt>
                <c:pt idx="1">
                  <c:v>10</c:v>
                </c:pt>
                <c:pt idx="2">
                  <c:v>2</c:v>
                </c:pt>
              </c:numCache>
            </c:numRef>
          </c:xVal>
          <c:yVal>
            <c:numRef>
              <c:f>Personal!$F$5:$F$24</c:f>
              <c:numCache>
                <c:formatCode>0</c:formatCode>
                <c:ptCount val="20"/>
                <c:pt idx="0">
                  <c:v>7</c:v>
                </c:pt>
                <c:pt idx="1">
                  <c:v>9</c:v>
                </c:pt>
                <c:pt idx="2">
                  <c:v>2</c:v>
                </c:pt>
              </c:numCache>
            </c:numRef>
          </c:yVal>
          <c:bubbleSize>
            <c:numRef>
              <c:f>Personal!$J$5:$J$24</c:f>
              <c:numCache>
                <c:formatCode>General</c:formatCode>
                <c:ptCount val="20"/>
                <c:pt idx="0">
                  <c:v>2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A352-4B72-AAD6-5343D97943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60788064"/>
        <c:axId val="1660813632"/>
      </c:bubbleChart>
      <c:valAx>
        <c:axId val="1660788064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1660813632"/>
        <c:crosses val="autoZero"/>
        <c:crossBetween val="midCat"/>
        <c:majorUnit val="1"/>
        <c:minorUnit val="0.1"/>
      </c:valAx>
      <c:valAx>
        <c:axId val="1660813632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166078806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203462222566488"/>
          <c:y val="2.4817016702893855E-2"/>
          <c:w val="0.83886613767376805"/>
          <c:h val="0.91746872405280555"/>
        </c:manualLayout>
      </c:layout>
      <c:bubbleChart>
        <c:varyColors val="1"/>
        <c:ser>
          <c:idx val="0"/>
          <c:order val="0"/>
          <c:tx>
            <c:strRef>
              <c:f>Kernkompetenzen!$E$5</c:f>
              <c:strCache>
                <c:ptCount val="1"/>
                <c:pt idx="0">
                  <c:v>Schwer substituierbar</c:v>
                </c:pt>
              </c:strCache>
            </c:strRef>
          </c:tx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298A-4421-9E25-57999B761A44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298A-4421-9E25-57999B761A44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298A-4421-9E25-57999B761A44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298A-4421-9E25-57999B761A44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298A-4421-9E25-57999B761A44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298A-4421-9E25-57999B761A44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298A-4421-9E25-57999B761A44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298A-4421-9E25-57999B761A44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298A-4421-9E25-57999B761A44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298A-4421-9E25-57999B761A44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298A-4421-9E25-57999B761A44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298A-4421-9E25-57999B761A44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298A-4421-9E25-57999B761A44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298A-4421-9E25-57999B761A44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298A-4421-9E25-57999B761A44}"/>
              </c:ext>
            </c:extLst>
          </c:dPt>
          <c:dLbls>
            <c:dLbl>
              <c:idx val="0"/>
              <c:tx>
                <c:strRef>
                  <c:f>Kernkompetenzen!$B$6</c:f>
                  <c:strCache>
                    <c:ptCount val="1"/>
                    <c:pt idx="0">
                      <c:v>C1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{30A1BD0C-6245-44B3-93CD-A59A2CA28ABB}</c15:txfldGUID>
                      <c15:f>Kernkompetenzen!$B$6</c15:f>
                      <c15:dlblFieldTableCache>
                        <c:ptCount val="1"/>
                        <c:pt idx="0">
                          <c:v>C1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298A-4421-9E25-57999B761A44}"/>
                </c:ext>
              </c:extLst>
            </c:dLbl>
            <c:dLbl>
              <c:idx val="1"/>
              <c:layout>
                <c:manualLayout>
                  <c:x val="-0.12025684035085844"/>
                  <c:y val="4.2833536230510528E-3"/>
                </c:manualLayout>
              </c:layout>
              <c:tx>
                <c:strRef>
                  <c:f>Kernkompetenzen!$B$7</c:f>
                  <c:strCache>
                    <c:ptCount val="1"/>
                    <c:pt idx="0">
                      <c:v>C2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{2BEC546B-4E32-464E-B532-BBCD19942F13}</c15:txfldGUID>
                      <c15:f>Kernkompetenzen!$B$7</c15:f>
                      <c15:dlblFieldTableCache>
                        <c:ptCount val="1"/>
                        <c:pt idx="0">
                          <c:v>C2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298A-4421-9E25-57999B761A44}"/>
                </c:ext>
              </c:extLst>
            </c:dLbl>
            <c:dLbl>
              <c:idx val="2"/>
              <c:layout>
                <c:manualLayout>
                  <c:x val="-0.13111165717582451"/>
                  <c:y val="-6.4250304345765796E-3"/>
                </c:manualLayout>
              </c:layout>
              <c:tx>
                <c:strRef>
                  <c:f>Kernkompetenzen!$B$8</c:f>
                  <c:strCache>
                    <c:ptCount val="1"/>
                    <c:pt idx="0">
                      <c:v>C3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{D369B85C-A5F5-4F6A-BC7B-7C40E4F1A5C3}</c15:txfldGUID>
                      <c15:f>Kernkompetenzen!$B$8</c15:f>
                      <c15:dlblFieldTableCache>
                        <c:ptCount val="1"/>
                        <c:pt idx="0">
                          <c:v>C3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298A-4421-9E25-57999B761A44}"/>
                </c:ext>
              </c:extLst>
            </c:dLbl>
            <c:dLbl>
              <c:idx val="3"/>
              <c:tx>
                <c:strRef>
                  <c:f>Kernkompetenzen!$B$9</c:f>
                  <c:strCache>
                    <c:ptCount val="1"/>
                    <c:pt idx="0">
                      <c:v>C4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{3C5CAFA0-172C-4D87-A02B-A6B889879A24}</c15:txfldGUID>
                      <c15:f>Kernkompetenzen!$B$9</c15:f>
                      <c15:dlblFieldTableCache>
                        <c:ptCount val="1"/>
                        <c:pt idx="0">
                          <c:v>C4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298A-4421-9E25-57999B761A44}"/>
                </c:ext>
              </c:extLst>
            </c:dLbl>
            <c:dLbl>
              <c:idx val="4"/>
              <c:layout>
                <c:manualLayout>
                  <c:x val="-0.12025684035085844"/>
                  <c:y val="6.4250304345765796E-3"/>
                </c:manualLayout>
              </c:layout>
              <c:tx>
                <c:strRef>
                  <c:f>Kernkompetenzen!$B$10</c:f>
                  <c:strCache>
                    <c:ptCount val="1"/>
                    <c:pt idx="0">
                      <c:v>C5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{B04A51B3-A04E-4F91-973E-557BEE390CE2}</c15:txfldGUID>
                      <c15:f>Kernkompetenzen!$B$10</c15:f>
                      <c15:dlblFieldTableCache>
                        <c:ptCount val="1"/>
                        <c:pt idx="0">
                          <c:v>C5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298A-4421-9E25-57999B761A44}"/>
                </c:ext>
              </c:extLst>
            </c:dLbl>
            <c:dLbl>
              <c:idx val="5"/>
              <c:layout>
                <c:manualLayout>
                  <c:x val="-0.10397461511340933"/>
                  <c:y val="2.1416768115255264E-3"/>
                </c:manualLayout>
              </c:layout>
              <c:tx>
                <c:strRef>
                  <c:f>Kernkompetenzen!$B$11</c:f>
                  <c:strCache>
                    <c:ptCount val="1"/>
                    <c:pt idx="0">
                      <c:v>C6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{D221C8B1-A641-4543-AB1F-D5A82B051CB6}</c15:txfldGUID>
                      <c15:f>Kernkompetenzen!$B$11</c15:f>
                      <c15:dlblFieldTableCache>
                        <c:ptCount val="1"/>
                        <c:pt idx="0">
                          <c:v>C6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298A-4421-9E25-57999B761A44}"/>
                </c:ext>
              </c:extLst>
            </c:dLbl>
            <c:dLbl>
              <c:idx val="6"/>
              <c:layout>
                <c:manualLayout>
                  <c:x val="-0.12025684035085844"/>
                  <c:y val="-8.5667072461021055E-3"/>
                </c:manualLayout>
              </c:layout>
              <c:tx>
                <c:strRef>
                  <c:f>Kernkompetenzen!$B$12</c:f>
                  <c:strCache>
                    <c:ptCount val="1"/>
                    <c:pt idx="0">
                      <c:v>C7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{1B807604-B38B-40FD-9B29-BACF3B026946}</c15:txfldGUID>
                      <c15:f>Kernkompetenzen!$B$12</c15:f>
                      <c15:dlblFieldTableCache>
                        <c:ptCount val="1"/>
                        <c:pt idx="0">
                          <c:v>C7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298A-4421-9E25-57999B761A44}"/>
                </c:ext>
              </c:extLst>
            </c:dLbl>
            <c:dLbl>
              <c:idx val="7"/>
              <c:layout>
                <c:manualLayout>
                  <c:x val="-0.13472992945081322"/>
                  <c:y val="-4.2833536230510528E-3"/>
                </c:manualLayout>
              </c:layout>
              <c:tx>
                <c:strRef>
                  <c:f>Kernkompetenzen!$B$13</c:f>
                  <c:strCache>
                    <c:ptCount val="1"/>
                    <c:pt idx="0">
                      <c:v>C8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{5A295A41-6E24-4A81-81C6-9CE750A458A7}</c15:txfldGUID>
                      <c15:f>Kernkompetenzen!$B$13</c15:f>
                      <c15:dlblFieldTableCache>
                        <c:ptCount val="1"/>
                        <c:pt idx="0">
                          <c:v>C8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298A-4421-9E25-57999B761A44}"/>
                </c:ext>
              </c:extLst>
            </c:dLbl>
            <c:dLbl>
              <c:idx val="8"/>
              <c:layout>
                <c:manualLayout>
                  <c:x val="-0.10940202352589237"/>
                  <c:y val="-6.4250304345765796E-3"/>
                </c:manualLayout>
              </c:layout>
              <c:tx>
                <c:strRef>
                  <c:f>Kernkompetenzen!$B$14</c:f>
                  <c:strCache>
                    <c:ptCount val="1"/>
                    <c:pt idx="0">
                      <c:v>C9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{28836B10-C951-4A37-B0B8-27F8519380DD}</c15:txfldGUID>
                      <c15:f>Kernkompetenzen!$B$14</c15:f>
                      <c15:dlblFieldTableCache>
                        <c:ptCount val="1"/>
                        <c:pt idx="0">
                          <c:v>C9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298A-4421-9E25-57999B761A44}"/>
                </c:ext>
              </c:extLst>
            </c:dLbl>
            <c:dLbl>
              <c:idx val="9"/>
              <c:layout>
                <c:manualLayout>
                  <c:x val="-0.1248430716852388"/>
                  <c:y val="-1.2850060869153159E-2"/>
                </c:manualLayout>
              </c:layout>
              <c:tx>
                <c:strRef>
                  <c:f>Kernkompetenzen!$B$15</c:f>
                  <c:strCache>
                    <c:ptCount val="1"/>
                    <c:pt idx="0">
                      <c:v>C10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{76105277-AC80-420A-9FD3-3352128D579B}</c15:txfldGUID>
                      <c15:f>Kernkompetenzen!$B$15</c15:f>
                      <c15:dlblFieldTableCache>
                        <c:ptCount val="1"/>
                        <c:pt idx="0">
                          <c:v>C10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298A-4421-9E25-57999B761A44}"/>
                </c:ext>
              </c:extLst>
            </c:dLbl>
            <c:dLbl>
              <c:idx val="10"/>
              <c:layout>
                <c:manualLayout>
                  <c:x val="-0.1248430716852388"/>
                  <c:y val="1.2850060869153159E-2"/>
                </c:manualLayout>
              </c:layout>
              <c:tx>
                <c:strRef>
                  <c:f>Kernkompetenzen!$B$16</c:f>
                  <c:strCache>
                    <c:ptCount val="1"/>
                    <c:pt idx="0">
                      <c:v>C11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{B3EF4C8F-243E-48F8-815D-05F183D6F38A}</c15:txfldGUID>
                      <c15:f>Kernkompetenzen!$B$16</c15:f>
                      <c15:dlblFieldTableCache>
                        <c:ptCount val="1"/>
                        <c:pt idx="0">
                          <c:v>C11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298A-4421-9E25-57999B761A44}"/>
                </c:ext>
              </c:extLst>
            </c:dLbl>
            <c:dLbl>
              <c:idx val="11"/>
              <c:tx>
                <c:strRef>
                  <c:f>Kernkompetenzen!$C$17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{BFA751B3-FF0D-40DC-AD9B-1C98E7E8FFE5}</c15:txfldGUID>
                      <c15:f>Kernkompetenzen!$C$17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298A-4421-9E25-57999B761A44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r>
                      <a:rPr lang="de-CH"/>
                      <a:t>#BEZUG!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298A-4421-9E25-57999B761A44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r>
                      <a:rPr lang="de-CH"/>
                      <a:t>#BEZUG!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298A-4421-9E25-57999B761A44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r>
                      <a:rPr lang="de-CH"/>
                      <a:t>#BEZUG!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298A-4421-9E25-57999B761A44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r>
                      <a:rPr lang="de-CH"/>
                      <a:t>#BEZUG!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298A-4421-9E25-57999B761A44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r>
                      <a:rPr lang="de-CH"/>
                      <a:t>#BEZUG!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298A-4421-9E25-57999B761A44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r>
                      <a:rPr lang="de-CH"/>
                      <a:t>#BEZUG!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298A-4421-9E25-57999B761A44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r>
                      <a:rPr lang="de-CH"/>
                      <a:t>#BEZUG!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298A-4421-9E25-57999B761A44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r>
                      <a:rPr lang="de-CH"/>
                      <a:t>#BEZUG!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3-298A-4421-9E25-57999B761A44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6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Kernkompetenzen!$D$6:$D$17</c:f>
              <c:numCache>
                <c:formatCode>0</c:formatCode>
                <c:ptCount val="12"/>
                <c:pt idx="0">
                  <c:v>4</c:v>
                </c:pt>
                <c:pt idx="1">
                  <c:v>2</c:v>
                </c:pt>
              </c:numCache>
            </c:numRef>
          </c:xVal>
          <c:yVal>
            <c:numRef>
              <c:f>Kernkompetenzen!$E$6:$E$17</c:f>
              <c:numCache>
                <c:formatCode>0</c:formatCode>
                <c:ptCount val="12"/>
                <c:pt idx="0">
                  <c:v>2</c:v>
                </c:pt>
                <c:pt idx="1">
                  <c:v>4</c:v>
                </c:pt>
              </c:numCache>
            </c:numRef>
          </c:yVal>
          <c:bubbleSize>
            <c:numLit>
              <c:formatCode>General</c:formatCode>
              <c:ptCount val="12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14-298A-4421-9E25-57999B761A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60787520"/>
        <c:axId val="1660811456"/>
      </c:bubbleChart>
      <c:valAx>
        <c:axId val="1660787520"/>
        <c:scaling>
          <c:orientation val="minMax"/>
          <c:max val="5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1660811456"/>
        <c:crosses val="autoZero"/>
        <c:crossBetween val="midCat"/>
        <c:majorUnit val="1"/>
        <c:minorUnit val="0.1"/>
      </c:valAx>
      <c:valAx>
        <c:axId val="1660811456"/>
        <c:scaling>
          <c:orientation val="minMax"/>
          <c:max val="5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166078752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2.4817016702893855E-2"/>
          <c:w val="0.86644758162626123"/>
          <c:h val="0.91746872405280555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7EC7-4D12-AC96-7DD3885494D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7EC7-4D12-AC96-7DD3885494D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7EC7-4D12-AC96-7DD3885494D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7EC7-4D12-AC96-7DD3885494D0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7EC7-4D12-AC96-7DD3885494D0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7EC7-4D12-AC96-7DD3885494D0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7EC7-4D12-AC96-7DD3885494D0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7EC7-4D12-AC96-7DD3885494D0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7EC7-4D12-AC96-7DD3885494D0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7EC7-4D12-AC96-7DD3885494D0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7EC7-4D12-AC96-7DD3885494D0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7EC7-4D12-AC96-7DD3885494D0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7EC7-4D12-AC96-7DD3885494D0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7EC7-4D12-AC96-7DD3885494D0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7EC7-4D12-AC96-7DD3885494D0}"/>
              </c:ext>
            </c:extLst>
          </c:dPt>
          <c:dLbls>
            <c:dLbl>
              <c:idx val="0"/>
              <c:tx>
                <c:strRef>
                  <c:f>KostenNutzen!$B$5</c:f>
                  <c:strCache>
                    <c:ptCount val="1"/>
                    <c:pt idx="0">
                      <c:v>I1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{0FCDC682-BF72-423D-A1F8-6F7486CCFCAE}</c15:txfldGUID>
                      <c15:f>KostenNutzen!$B$5</c15:f>
                      <c15:dlblFieldTableCache>
                        <c:ptCount val="1"/>
                        <c:pt idx="0">
                          <c:v>I1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7EC7-4D12-AC96-7DD3885494D0}"/>
                </c:ext>
              </c:extLst>
            </c:dLbl>
            <c:dLbl>
              <c:idx val="1"/>
              <c:layout>
                <c:manualLayout>
                  <c:x val="-8.6009899482783869E-2"/>
                  <c:y val="5.9259259259259256E-3"/>
                </c:manualLayout>
              </c:layout>
              <c:tx>
                <c:strRef>
                  <c:f>KostenNutzen!$B$6</c:f>
                  <c:strCache>
                    <c:ptCount val="1"/>
                    <c:pt idx="0">
                      <c:v>I2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{34BAB8B3-9A75-407F-857C-180DB558529C}</c15:txfldGUID>
                      <c15:f>KostenNutzen!$B$6</c15:f>
                      <c15:dlblFieldTableCache>
                        <c:ptCount val="1"/>
                        <c:pt idx="0">
                          <c:v>I2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7EC7-4D12-AC96-7DD3885494D0}"/>
                </c:ext>
              </c:extLst>
            </c:dLbl>
            <c:dLbl>
              <c:idx val="2"/>
              <c:layout>
                <c:manualLayout>
                  <c:x val="-7.1241173537028649E-2"/>
                  <c:y val="-9.876543209876543E-3"/>
                </c:manualLayout>
              </c:layout>
              <c:tx>
                <c:strRef>
                  <c:f>KostenNutzen!$B$7</c:f>
                  <c:strCache>
                    <c:ptCount val="1"/>
                    <c:pt idx="0">
                      <c:v>I3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{C00F204F-D6BD-444D-93DB-77B0C5E13759}</c15:txfldGUID>
                      <c15:f>KostenNutzen!$B$7</c15:f>
                      <c15:dlblFieldTableCache>
                        <c:ptCount val="1"/>
                        <c:pt idx="0">
                          <c:v>I3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7EC7-4D12-AC96-7DD3885494D0}"/>
                </c:ext>
              </c:extLst>
            </c:dLbl>
            <c:dLbl>
              <c:idx val="3"/>
              <c:layout>
                <c:manualLayout>
                  <c:x val="-6.3623233732669343E-2"/>
                  <c:y val="-3.9506172839506174E-3"/>
                </c:manualLayout>
              </c:layout>
              <c:tx>
                <c:strRef>
                  <c:f>KostenNutzen!$B$8</c:f>
                  <c:strCache>
                    <c:ptCount val="1"/>
                    <c:pt idx="0">
                      <c:v>I4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{7E761A16-8926-46D2-BDBC-51CE4764B115}</c15:txfldGUID>
                      <c15:f>KostenNutzen!$B$8</c15:f>
                      <c15:dlblFieldTableCache>
                        <c:ptCount val="1"/>
                        <c:pt idx="0">
                          <c:v>I4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7EC7-4D12-AC96-7DD3885494D0}"/>
                </c:ext>
              </c:extLst>
            </c:dLbl>
            <c:dLbl>
              <c:idx val="4"/>
              <c:layout>
                <c:manualLayout>
                  <c:x val="-8.8000641106619121E-2"/>
                  <c:y val="-9.876543209876543E-3"/>
                </c:manualLayout>
              </c:layout>
              <c:tx>
                <c:strRef>
                  <c:f>KostenNutzen!$B$9</c:f>
                  <c:strCache>
                    <c:ptCount val="1"/>
                    <c:pt idx="0">
                      <c:v>I5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{B767872D-EBA8-46DA-A37B-4146B35A214D}</c15:txfldGUID>
                      <c15:f>KostenNutzen!$B$9</c15:f>
                      <c15:dlblFieldTableCache>
                        <c:ptCount val="1"/>
                        <c:pt idx="0">
                          <c:v>I5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7EC7-4D12-AC96-7DD3885494D0}"/>
                </c:ext>
              </c:extLst>
            </c:dLbl>
            <c:dLbl>
              <c:idx val="5"/>
              <c:layout>
                <c:manualLayout>
                  <c:x val="-8.4486311521912008E-2"/>
                  <c:y val="7.2427146854513735E-17"/>
                </c:manualLayout>
              </c:layout>
              <c:tx>
                <c:strRef>
                  <c:f>KostenNutzen!$B$10</c:f>
                  <c:strCache>
                    <c:ptCount val="1"/>
                    <c:pt idx="0">
                      <c:v>I6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{51FC0FFF-8B3D-4984-9772-A2F75FBFA8B4}</c15:txfldGUID>
                      <c15:f>KostenNutzen!$B$10</c15:f>
                      <c15:dlblFieldTableCache>
                        <c:ptCount val="1"/>
                        <c:pt idx="0">
                          <c:v>I6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7EC7-4D12-AC96-7DD3885494D0}"/>
                </c:ext>
              </c:extLst>
            </c:dLbl>
            <c:dLbl>
              <c:idx val="6"/>
              <c:layout>
                <c:manualLayout>
                  <c:x val="-7.1241173537028649E-2"/>
                  <c:y val="9.876543209876543E-3"/>
                </c:manualLayout>
              </c:layout>
              <c:tx>
                <c:strRef>
                  <c:f>KostenNutzen!$B$11</c:f>
                  <c:strCache>
                    <c:ptCount val="1"/>
                    <c:pt idx="0">
                      <c:v>I7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{A682A675-F639-4D3A-8326-514F2297EEC0}</c15:txfldGUID>
                      <c15:f>KostenNutzen!$B$11</c15:f>
                      <c15:dlblFieldTableCache>
                        <c:ptCount val="1"/>
                        <c:pt idx="0">
                          <c:v>I7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7EC7-4D12-AC96-7DD3885494D0}"/>
                </c:ext>
              </c:extLst>
            </c:dLbl>
            <c:dLbl>
              <c:idx val="7"/>
              <c:layout>
                <c:manualLayout>
                  <c:x val="-7.1241173537028649E-2"/>
                  <c:y val="-9.876543209876543E-3"/>
                </c:manualLayout>
              </c:layout>
              <c:tx>
                <c:strRef>
                  <c:f>KostenNutzen!$B$12</c:f>
                  <c:strCache>
                    <c:ptCount val="1"/>
                    <c:pt idx="0">
                      <c:v>I8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{FBA31ABD-4DBE-4FDB-8A7F-1AE55CA09147}</c15:txfldGUID>
                      <c15:f>KostenNutzen!$B$12</c15:f>
                      <c15:dlblFieldTableCache>
                        <c:ptCount val="1"/>
                        <c:pt idx="0">
                          <c:v>I8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7EC7-4D12-AC96-7DD3885494D0}"/>
                </c:ext>
              </c:extLst>
            </c:dLbl>
            <c:dLbl>
              <c:idx val="8"/>
              <c:layout>
                <c:manualLayout>
                  <c:x val="-9.2104251326271327E-2"/>
                  <c:y val="3.9506172839506174E-3"/>
                </c:manualLayout>
              </c:layout>
              <c:tx>
                <c:strRef>
                  <c:f>KostenNutzen!$B$13</c:f>
                  <c:strCache>
                    <c:ptCount val="1"/>
                    <c:pt idx="0">
                      <c:v>I9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{5A74C7CB-C884-4AD4-97BE-FE548B0B4B06}</c15:txfldGUID>
                      <c15:f>KostenNutzen!$B$13</c15:f>
                      <c15:dlblFieldTableCache>
                        <c:ptCount val="1"/>
                        <c:pt idx="0">
                          <c:v>I9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7EC7-4D12-AC96-7DD3885494D0}"/>
                </c:ext>
              </c:extLst>
            </c:dLbl>
            <c:dLbl>
              <c:idx val="9"/>
              <c:layout>
                <c:manualLayout>
                  <c:x val="-8.1197880845104251E-2"/>
                  <c:y val="0"/>
                </c:manualLayout>
              </c:layout>
              <c:tx>
                <c:strRef>
                  <c:f>KostenNutzen!$B$14</c:f>
                  <c:strCache>
                    <c:ptCount val="1"/>
                    <c:pt idx="0">
                      <c:v>I10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{B876EBAE-6AD9-4B35-AAD5-D0E21C87FE26}</c15:txfldGUID>
                      <c15:f>KostenNutzen!$B$14</c15:f>
                      <c15:dlblFieldTableCache>
                        <c:ptCount val="1"/>
                        <c:pt idx="0">
                          <c:v>I10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7EC7-4D12-AC96-7DD3885494D0}"/>
                </c:ext>
              </c:extLst>
            </c:dLbl>
            <c:dLbl>
              <c:idx val="10"/>
              <c:tx>
                <c:strRef>
                  <c:f>KostenNutzen!$B$15</c:f>
                  <c:strCache>
                    <c:ptCount val="1"/>
                    <c:pt idx="0">
                      <c:v>I11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{260BEF28-EC0A-4A41-8ACA-606E484C1F0A}</c15:txfldGUID>
                      <c15:f>KostenNutzen!$B$15</c15:f>
                      <c15:dlblFieldTableCache>
                        <c:ptCount val="1"/>
                        <c:pt idx="0">
                          <c:v>I11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7EC7-4D12-AC96-7DD3885494D0}"/>
                </c:ext>
              </c:extLst>
            </c:dLbl>
            <c:dLbl>
              <c:idx val="11"/>
              <c:layout>
                <c:manualLayout>
                  <c:x val="-7.0532765119001223E-2"/>
                  <c:y val="7.9012345679012348E-3"/>
                </c:manualLayout>
              </c:layout>
              <c:tx>
                <c:strRef>
                  <c:f>KostenNutzen!$B$16</c:f>
                  <c:strCache>
                    <c:ptCount val="1"/>
                    <c:pt idx="0">
                      <c:v>I12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{27641F27-A45A-411D-973E-DB6CDEB781F7}</c15:txfldGUID>
                      <c15:f>KostenNutzen!$B$16</c15:f>
                      <c15:dlblFieldTableCache>
                        <c:ptCount val="1"/>
                        <c:pt idx="0">
                          <c:v>I12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7EC7-4D12-AC96-7DD3885494D0}"/>
                </c:ext>
              </c:extLst>
            </c:dLbl>
            <c:dLbl>
              <c:idx val="12"/>
              <c:layout>
                <c:manualLayout>
                  <c:x val="-9.5966606790859485E-2"/>
                  <c:y val="5.9259259259259985E-3"/>
                </c:manualLayout>
              </c:layout>
              <c:tx>
                <c:strRef>
                  <c:f>KostenNutzen!$B$17</c:f>
                  <c:strCache>
                    <c:ptCount val="1"/>
                    <c:pt idx="0">
                      <c:v>I13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{C52C4B07-0DA1-44BD-96E8-5A51DA83B5E6}</c15:txfldGUID>
                      <c15:f>KostenNutzen!$B$17</c15:f>
                      <c15:dlblFieldTableCache>
                        <c:ptCount val="1"/>
                        <c:pt idx="0">
                          <c:v>I13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7EC7-4D12-AC96-7DD3885494D0}"/>
                </c:ext>
              </c:extLst>
            </c:dLbl>
            <c:dLbl>
              <c:idx val="13"/>
              <c:layout>
                <c:manualLayout>
                  <c:x val="-9.0339408610335417E-2"/>
                  <c:y val="5.9259259259259256E-3"/>
                </c:manualLayout>
              </c:layout>
              <c:tx>
                <c:strRef>
                  <c:f>KostenNutzen!$B$18</c:f>
                  <c:strCache>
                    <c:ptCount val="1"/>
                    <c:pt idx="0">
                      <c:v>I14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{6F8D1E8A-7298-48C1-AE7B-E2CEAD2165B5}</c15:txfldGUID>
                      <c15:f>KostenNutzen!$B$18</c15:f>
                      <c15:dlblFieldTableCache>
                        <c:ptCount val="1"/>
                        <c:pt idx="0">
                          <c:v>I14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7EC7-4D12-AC96-7DD3885494D0}"/>
                </c:ext>
              </c:extLst>
            </c:dLbl>
            <c:dLbl>
              <c:idx val="14"/>
              <c:layout>
                <c:manualLayout>
                  <c:x val="-8.9872254947372027E-2"/>
                  <c:y val="0"/>
                </c:manualLayout>
              </c:layout>
              <c:tx>
                <c:strRef>
                  <c:f>KostenNutzen!$B$19</c:f>
                  <c:strCache>
                    <c:ptCount val="1"/>
                    <c:pt idx="0">
                      <c:v>I15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{FD6FFA81-2DB2-41CB-A347-B5FD4B9AF68F}</c15:txfldGUID>
                      <c15:f>KostenNutzen!$B$19</c15:f>
                      <c15:dlblFieldTableCache>
                        <c:ptCount val="1"/>
                        <c:pt idx="0">
                          <c:v>I15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7EC7-4D12-AC96-7DD3885494D0}"/>
                </c:ext>
              </c:extLst>
            </c:dLbl>
            <c:dLbl>
              <c:idx val="15"/>
              <c:layout>
                <c:manualLayout>
                  <c:x val="-0.1119755573302756"/>
                  <c:y val="-5.9259259259259256E-3"/>
                </c:manualLayout>
              </c:layout>
              <c:tx>
                <c:strRef>
                  <c:f>KostenNutzen!$B$20</c:f>
                  <c:strCache>
                    <c:ptCount val="1"/>
                    <c:pt idx="0">
                      <c:v>I16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{24C44578-D654-4AC8-868A-413A3B74A00B}</c15:txfldGUID>
                      <c15:f>KostenNutzen!$B$20</c15:f>
                      <c15:dlblFieldTableCache>
                        <c:ptCount val="1"/>
                        <c:pt idx="0">
                          <c:v>I16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7EC7-4D12-AC96-7DD3885494D0}"/>
                </c:ext>
              </c:extLst>
            </c:dLbl>
            <c:dLbl>
              <c:idx val="16"/>
              <c:layout>
                <c:manualLayout>
                  <c:x val="-0.11045196936940374"/>
                  <c:y val="7.9012345679012348E-3"/>
                </c:manualLayout>
              </c:layout>
              <c:tx>
                <c:strRef>
                  <c:f>KostenNutzen!$B$21</c:f>
                  <c:strCache>
                    <c:ptCount val="1"/>
                    <c:pt idx="0">
                      <c:v>I17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{86EC10F0-1345-46E9-B447-A48E708A8940}</c15:txfldGUID>
                      <c15:f>KostenNutzen!$B$21</c15:f>
                      <c15:dlblFieldTableCache>
                        <c:ptCount val="1"/>
                        <c:pt idx="0">
                          <c:v>I17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7EC7-4D12-AC96-7DD3885494D0}"/>
                </c:ext>
              </c:extLst>
            </c:dLbl>
            <c:dLbl>
              <c:idx val="17"/>
              <c:tx>
                <c:strRef>
                  <c:f>KostenNutzen!$B$22</c:f>
                  <c:strCache>
                    <c:ptCount val="1"/>
                    <c:pt idx="0">
                      <c:v>I18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{691E6644-65C4-4A02-8EAA-69BC21EB2B51}</c15:txfldGUID>
                      <c15:f>KostenNutzen!$B$22</c15:f>
                      <c15:dlblFieldTableCache>
                        <c:ptCount val="1"/>
                        <c:pt idx="0">
                          <c:v>I18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7EC7-4D12-AC96-7DD3885494D0}"/>
                </c:ext>
              </c:extLst>
            </c:dLbl>
            <c:dLbl>
              <c:idx val="18"/>
              <c:layout>
                <c:manualLayout>
                  <c:x val="-0.10588120548678816"/>
                  <c:y val="0"/>
                </c:manualLayout>
              </c:layout>
              <c:tx>
                <c:strRef>
                  <c:f>KostenNutzen!$B$23</c:f>
                  <c:strCache>
                    <c:ptCount val="1"/>
                    <c:pt idx="0">
                      <c:v>I19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{43E4AB44-271F-460A-9753-429345ACC984}</c15:txfldGUID>
                      <c15:f>KostenNutzen!$B$23</c15:f>
                      <c15:dlblFieldTableCache>
                        <c:ptCount val="1"/>
                        <c:pt idx="0">
                          <c:v>I19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7EC7-4D12-AC96-7DD3885494D0}"/>
                </c:ext>
              </c:extLst>
            </c:dLbl>
            <c:dLbl>
              <c:idx val="19"/>
              <c:layout>
                <c:manualLayout>
                  <c:x val="-0.12111708509550677"/>
                  <c:y val="5.9259259259259256E-3"/>
                </c:manualLayout>
              </c:layout>
              <c:tx>
                <c:strRef>
                  <c:f>KostenNutzen!$B$24</c:f>
                  <c:strCache>
                    <c:ptCount val="1"/>
                    <c:pt idx="0">
                      <c:v>I20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{03321AAF-1C9E-43AB-8DD2-40D72FF00364}</c15:txfldGUID>
                      <c15:f>KostenNutzen!$B$24</c15:f>
                      <c15:dlblFieldTableCache>
                        <c:ptCount val="1"/>
                        <c:pt idx="0">
                          <c:v>I20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7EC7-4D12-AC96-7DD3885494D0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KostenNutzen!$D$5:$D$24</c:f>
              <c:numCache>
                <c:formatCode>General</c:formatCode>
                <c:ptCount val="20"/>
                <c:pt idx="0">
                  <c:v>8</c:v>
                </c:pt>
                <c:pt idx="1">
                  <c:v>2</c:v>
                </c:pt>
              </c:numCache>
            </c:numRef>
          </c:xVal>
          <c:yVal>
            <c:numRef>
              <c:f>KostenNutzen!$E$5:$E$24</c:f>
              <c:numCache>
                <c:formatCode>0</c:formatCode>
                <c:ptCount val="20"/>
                <c:pt idx="0">
                  <c:v>5</c:v>
                </c:pt>
                <c:pt idx="1">
                  <c:v>10</c:v>
                </c:pt>
              </c:numCache>
            </c:numRef>
          </c:yVal>
          <c:bubbleSize>
            <c:numRef>
              <c:f>KostenNutzen!$H$5:$H$24</c:f>
              <c:numCache>
                <c:formatCode>General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7EC7-4D12-AC96-7DD3885494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60785888"/>
        <c:axId val="1660786432"/>
      </c:bubbleChart>
      <c:valAx>
        <c:axId val="1660785888"/>
        <c:scaling>
          <c:orientation val="minMax"/>
          <c:max val="11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660786432"/>
        <c:crosses val="autoZero"/>
        <c:crossBetween val="midCat"/>
        <c:majorUnit val="1"/>
        <c:minorUnit val="0.1"/>
      </c:valAx>
      <c:valAx>
        <c:axId val="1660786432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166078588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MatrixIdee!$C$5</c:f>
              <c:strCache>
                <c:ptCount val="1"/>
                <c:pt idx="0">
                  <c:v>Kriterium 1</c:v>
                </c:pt>
              </c:strCache>
            </c:strRef>
          </c:tx>
          <c:spPr>
            <a:solidFill>
              <a:srgbClr val="00469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Idee 3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MatrixIdee!$D$5:$I$5</c:f>
              <c:numCache>
                <c:formatCode>General</c:formatCode>
                <c:ptCount val="6"/>
                <c:pt idx="0">
                  <c:v>100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6C-4469-9B1C-8C442A5E305F}"/>
            </c:ext>
          </c:extLst>
        </c:ser>
        <c:ser>
          <c:idx val="1"/>
          <c:order val="1"/>
          <c:tx>
            <c:strRef>
              <c:f>MatrixIdee!$C$6</c:f>
              <c:strCache>
                <c:ptCount val="1"/>
                <c:pt idx="0">
                  <c:v>Kriterium 2</c:v>
                </c:pt>
              </c:strCache>
            </c:strRef>
          </c:tx>
          <c:spPr>
            <a:solidFill>
              <a:srgbClr val="1455A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Idee 3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MatrixIdee!$D$6:$I$6</c:f>
              <c:numCache>
                <c:formatCode>General</c:formatCode>
                <c:ptCount val="6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6C-4469-9B1C-8C442A5E305F}"/>
            </c:ext>
          </c:extLst>
        </c:ser>
        <c:ser>
          <c:idx val="2"/>
          <c:order val="2"/>
          <c:tx>
            <c:strRef>
              <c:f>MatrixIdee!$C$7</c:f>
              <c:strCache>
                <c:ptCount val="1"/>
                <c:pt idx="0">
                  <c:v>Kriterium 3</c:v>
                </c:pt>
              </c:strCache>
            </c:strRef>
          </c:tx>
          <c:spPr>
            <a:solidFill>
              <a:srgbClr val="3264B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Idee 3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MatrixIdee!$D$7:$I$7</c:f>
              <c:numCache>
                <c:formatCode>General</c:formatCode>
                <c:ptCount val="6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66C-4469-9B1C-8C442A5E305F}"/>
            </c:ext>
          </c:extLst>
        </c:ser>
        <c:ser>
          <c:idx val="3"/>
          <c:order val="3"/>
          <c:tx>
            <c:strRef>
              <c:f>MatrixIdee!$C$8</c:f>
              <c:strCache>
                <c:ptCount val="1"/>
                <c:pt idx="0">
                  <c:v>?</c:v>
                </c:pt>
              </c:strCache>
            </c:strRef>
          </c:tx>
          <c:spPr>
            <a:solidFill>
              <a:srgbClr val="5078B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Idee 3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MatrixIdee!$D$8:$I$8</c:f>
              <c:numCache>
                <c:formatCode>General</c:formatCode>
                <c:ptCount val="6"/>
                <c:pt idx="0">
                  <c:v>81</c:v>
                </c:pt>
                <c:pt idx="1">
                  <c:v>81</c:v>
                </c:pt>
                <c:pt idx="2">
                  <c:v>54</c:v>
                </c:pt>
                <c:pt idx="3">
                  <c:v>36</c:v>
                </c:pt>
                <c:pt idx="4">
                  <c:v>9</c:v>
                </c:pt>
                <c:pt idx="5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66C-4469-9B1C-8C442A5E305F}"/>
            </c:ext>
          </c:extLst>
        </c:ser>
        <c:ser>
          <c:idx val="4"/>
          <c:order val="4"/>
          <c:tx>
            <c:strRef>
              <c:f>MatrixIdee!$C$9</c:f>
              <c:strCache>
                <c:ptCount val="1"/>
                <c:pt idx="0">
                  <c:v>?</c:v>
                </c:pt>
              </c:strCache>
            </c:strRef>
          </c:tx>
          <c:spPr>
            <a:solidFill>
              <a:srgbClr val="739BCA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Idee 3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MatrixIdee!$D$9:$I$9</c:f>
              <c:numCache>
                <c:formatCode>General</c:formatCode>
                <c:ptCount val="6"/>
                <c:pt idx="0">
                  <c:v>16</c:v>
                </c:pt>
                <c:pt idx="1">
                  <c:v>16</c:v>
                </c:pt>
                <c:pt idx="2">
                  <c:v>16</c:v>
                </c:pt>
                <c:pt idx="3">
                  <c:v>16</c:v>
                </c:pt>
                <c:pt idx="4">
                  <c:v>16</c:v>
                </c:pt>
                <c:pt idx="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66C-4469-9B1C-8C442A5E305F}"/>
            </c:ext>
          </c:extLst>
        </c:ser>
        <c:ser>
          <c:idx val="5"/>
          <c:order val="5"/>
          <c:tx>
            <c:strRef>
              <c:f>MatrixIdee!$C$10</c:f>
              <c:strCache>
                <c:ptCount val="1"/>
                <c:pt idx="0">
                  <c:v>?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Idee 3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MatrixIdee!$D$10:$I$10</c:f>
              <c:numCache>
                <c:formatCode>General</c:formatCode>
                <c:ptCount val="6"/>
                <c:pt idx="0">
                  <c:v>35</c:v>
                </c:pt>
                <c:pt idx="1">
                  <c:v>30</c:v>
                </c:pt>
                <c:pt idx="2">
                  <c:v>35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66C-4469-9B1C-8C442A5E305F}"/>
            </c:ext>
          </c:extLst>
        </c:ser>
        <c:ser>
          <c:idx val="6"/>
          <c:order val="6"/>
          <c:tx>
            <c:strRef>
              <c:f>MatrixIdee!$C$11</c:f>
              <c:strCache>
                <c:ptCount val="1"/>
                <c:pt idx="0">
                  <c:v>?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Idee 3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MatrixIdee!$D$11:$I$11</c:f>
              <c:numCache>
                <c:formatCode>General</c:formatCode>
                <c:ptCount val="6"/>
                <c:pt idx="0">
                  <c:v>9</c:v>
                </c:pt>
                <c:pt idx="1">
                  <c:v>9</c:v>
                </c:pt>
                <c:pt idx="2">
                  <c:v>9</c:v>
                </c:pt>
                <c:pt idx="3">
                  <c:v>9</c:v>
                </c:pt>
                <c:pt idx="4">
                  <c:v>9</c:v>
                </c:pt>
                <c:pt idx="5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66C-4469-9B1C-8C442A5E305F}"/>
            </c:ext>
          </c:extLst>
        </c:ser>
        <c:ser>
          <c:idx val="7"/>
          <c:order val="7"/>
          <c:tx>
            <c:strRef>
              <c:f>MatrixIdee!$C$12</c:f>
              <c:strCache>
                <c:ptCount val="1"/>
                <c:pt idx="0">
                  <c:v>?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Idee 3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MatrixIdee!$D$12:$I$12</c:f>
              <c:numCache>
                <c:formatCode>General</c:formatCode>
                <c:ptCount val="6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66C-4469-9B1C-8C442A5E3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60789152"/>
        <c:axId val="1660799488"/>
      </c:barChart>
      <c:catAx>
        <c:axId val="1660789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799488"/>
        <c:crosses val="autoZero"/>
        <c:auto val="1"/>
        <c:lblAlgn val="ctr"/>
        <c:lblOffset val="100"/>
        <c:noMultiLvlLbl val="0"/>
      </c:catAx>
      <c:valAx>
        <c:axId val="1660799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789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493797177062777E-2"/>
          <c:y val="9.4893660531241791E-2"/>
          <c:w val="0.83053562479904297"/>
          <c:h val="0.674909426824440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[0]!paretoXaxis</c:f>
              <c:strCache>
                <c:ptCount val="20"/>
                <c:pt idx="0">
                  <c:v>Reason 20</c:v>
                </c:pt>
                <c:pt idx="1">
                  <c:v>Reason 19</c:v>
                </c:pt>
                <c:pt idx="2">
                  <c:v>Reason 18</c:v>
                </c:pt>
                <c:pt idx="3">
                  <c:v>Reason 17</c:v>
                </c:pt>
                <c:pt idx="4">
                  <c:v>Reason 16</c:v>
                </c:pt>
                <c:pt idx="5">
                  <c:v>Reason 15</c:v>
                </c:pt>
                <c:pt idx="6">
                  <c:v>Reason 14</c:v>
                </c:pt>
                <c:pt idx="7">
                  <c:v>Reason 13</c:v>
                </c:pt>
                <c:pt idx="8">
                  <c:v>Reason 12</c:v>
                </c:pt>
                <c:pt idx="9">
                  <c:v>Reason 11</c:v>
                </c:pt>
                <c:pt idx="10">
                  <c:v>Reason 1</c:v>
                </c:pt>
                <c:pt idx="11">
                  <c:v>Reason 10</c:v>
                </c:pt>
                <c:pt idx="12">
                  <c:v>Reason 9</c:v>
                </c:pt>
                <c:pt idx="13">
                  <c:v>Reason 8</c:v>
                </c:pt>
                <c:pt idx="14">
                  <c:v>Reason 7</c:v>
                </c:pt>
                <c:pt idx="15">
                  <c:v>Reason 6</c:v>
                </c:pt>
                <c:pt idx="16">
                  <c:v>Reason 5</c:v>
                </c:pt>
                <c:pt idx="17">
                  <c:v>Reason 4</c:v>
                </c:pt>
                <c:pt idx="18">
                  <c:v>Reason 3</c:v>
                </c:pt>
                <c:pt idx="19">
                  <c:v>Reason 2</c:v>
                </c:pt>
              </c:strCache>
            </c:strRef>
          </c:cat>
          <c:val>
            <c:numRef>
              <c:f>[0]!Bars</c:f>
              <c:numCache>
                <c:formatCode>General</c:formatCode>
                <c:ptCount val="20"/>
                <c:pt idx="0">
                  <c:v>21</c:v>
                </c:pt>
                <c:pt idx="1">
                  <c:v>19</c:v>
                </c:pt>
                <c:pt idx="2">
                  <c:v>18</c:v>
                </c:pt>
                <c:pt idx="3">
                  <c:v>17</c:v>
                </c:pt>
                <c:pt idx="4">
                  <c:v>16</c:v>
                </c:pt>
                <c:pt idx="5">
                  <c:v>15</c:v>
                </c:pt>
                <c:pt idx="6">
                  <c:v>14</c:v>
                </c:pt>
                <c:pt idx="7">
                  <c:v>13</c:v>
                </c:pt>
                <c:pt idx="8">
                  <c:v>12</c:v>
                </c:pt>
                <c:pt idx="9">
                  <c:v>11</c:v>
                </c:pt>
                <c:pt idx="10">
                  <c:v>10</c:v>
                </c:pt>
                <c:pt idx="11">
                  <c:v>10</c:v>
                </c:pt>
                <c:pt idx="12">
                  <c:v>9</c:v>
                </c:pt>
                <c:pt idx="13">
                  <c:v>8</c:v>
                </c:pt>
                <c:pt idx="14">
                  <c:v>7</c:v>
                </c:pt>
                <c:pt idx="15">
                  <c:v>6</c:v>
                </c:pt>
                <c:pt idx="16">
                  <c:v>5</c:v>
                </c:pt>
                <c:pt idx="17">
                  <c:v>4</c:v>
                </c:pt>
                <c:pt idx="18">
                  <c:v>3</c:v>
                </c:pt>
                <c:pt idx="1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89-4777-B9F0-C67F713DC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0800032"/>
        <c:axId val="1660791328"/>
      </c:barChart>
      <c:lineChart>
        <c:grouping val="standard"/>
        <c:varyColors val="0"/>
        <c:ser>
          <c:idx val="1"/>
          <c:order val="1"/>
          <c:tx>
            <c:strRef>
              <c:f>Pareto!$H$6</c:f>
              <c:strCache>
                <c:ptCount val="1"/>
                <c:pt idx="0">
                  <c:v>Percentage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[0]!Percentage</c:f>
              <c:numCache>
                <c:formatCode>0%</c:formatCode>
                <c:ptCount val="20"/>
                <c:pt idx="0">
                  <c:v>9.5454545454545459E-2</c:v>
                </c:pt>
                <c:pt idx="1">
                  <c:v>0.18181818181818182</c:v>
                </c:pt>
                <c:pt idx="2">
                  <c:v>0.26363636363636367</c:v>
                </c:pt>
                <c:pt idx="3">
                  <c:v>0.34090909090909094</c:v>
                </c:pt>
                <c:pt idx="4">
                  <c:v>0.41363636363636369</c:v>
                </c:pt>
                <c:pt idx="5">
                  <c:v>0.48181818181818187</c:v>
                </c:pt>
                <c:pt idx="6">
                  <c:v>0.54545454545454553</c:v>
                </c:pt>
                <c:pt idx="7">
                  <c:v>0.60454545454545461</c:v>
                </c:pt>
                <c:pt idx="8">
                  <c:v>0.65909090909090917</c:v>
                </c:pt>
                <c:pt idx="9">
                  <c:v>0.70909090909090922</c:v>
                </c:pt>
                <c:pt idx="10">
                  <c:v>0.75454545454545463</c:v>
                </c:pt>
                <c:pt idx="11">
                  <c:v>0.8</c:v>
                </c:pt>
                <c:pt idx="12">
                  <c:v>0.84090909090909094</c:v>
                </c:pt>
                <c:pt idx="13">
                  <c:v>0.87727272727272732</c:v>
                </c:pt>
                <c:pt idx="14">
                  <c:v>0.90909090909090917</c:v>
                </c:pt>
                <c:pt idx="15">
                  <c:v>0.9363636363636364</c:v>
                </c:pt>
                <c:pt idx="16">
                  <c:v>0.95909090909090911</c:v>
                </c:pt>
                <c:pt idx="17">
                  <c:v>0.97727272727272729</c:v>
                </c:pt>
                <c:pt idx="18">
                  <c:v>0.99090909090909096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89-4777-B9F0-C67F713DC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0790784"/>
        <c:axId val="1660792416"/>
      </c:lineChart>
      <c:catAx>
        <c:axId val="1660800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79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0791328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800032"/>
        <c:crosses val="autoZero"/>
        <c:crossBetween val="between"/>
      </c:valAx>
      <c:catAx>
        <c:axId val="1660790784"/>
        <c:scaling>
          <c:orientation val="minMax"/>
        </c:scaling>
        <c:delete val="1"/>
        <c:axPos val="b"/>
        <c:majorTickMark val="none"/>
        <c:minorTickMark val="none"/>
        <c:tickLblPos val="nextTo"/>
        <c:crossAx val="1660792416"/>
        <c:crosses val="autoZero"/>
        <c:auto val="1"/>
        <c:lblAlgn val="ctr"/>
        <c:lblOffset val="100"/>
        <c:noMultiLvlLbl val="0"/>
      </c:catAx>
      <c:valAx>
        <c:axId val="1660792416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790784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 verticalDpi="1200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Kommunikation!$J$9:$J$18</c:f>
              <c:numCache>
                <c:formatCode>;;;</c:formatCode>
                <c:ptCount val="10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0F-4604-A3CA-3932067A9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0792960"/>
        <c:axId val="1660795136"/>
      </c:radarChart>
      <c:catAx>
        <c:axId val="1660792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795136"/>
        <c:crosses val="autoZero"/>
        <c:auto val="1"/>
        <c:lblAlgn val="ctr"/>
        <c:lblOffset val="100"/>
        <c:noMultiLvlLbl val="0"/>
      </c:catAx>
      <c:valAx>
        <c:axId val="1660795136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79296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Kommunikation!$J$23:$J$32</c:f>
              <c:numCache>
                <c:formatCode>;;;</c:formatCode>
                <c:ptCount val="10"/>
                <c:pt idx="0">
                  <c:v>3</c:v>
                </c:pt>
                <c:pt idx="1">
                  <c:v>2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5F-4C24-B0F8-8B3311BB64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0797856"/>
        <c:axId val="1660807648"/>
      </c:radarChart>
      <c:catAx>
        <c:axId val="1660797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807648"/>
        <c:crosses val="autoZero"/>
        <c:auto val="1"/>
        <c:lblAlgn val="ctr"/>
        <c:lblOffset val="100"/>
        <c:noMultiLvlLbl val="0"/>
      </c:catAx>
      <c:valAx>
        <c:axId val="1660807648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79785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Kommunikation!$J$37:$J$46</c:f>
              <c:numCache>
                <c:formatCode>;;;</c:formatCode>
                <c:ptCount val="10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7A-4EF2-96C1-9757C99F31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0809280"/>
        <c:axId val="1735461088"/>
      </c:radarChart>
      <c:catAx>
        <c:axId val="1660809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5461088"/>
        <c:crosses val="autoZero"/>
        <c:auto val="1"/>
        <c:lblAlgn val="ctr"/>
        <c:lblOffset val="100"/>
        <c:noMultiLvlLbl val="0"/>
      </c:catAx>
      <c:valAx>
        <c:axId val="1735461088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80928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Kommunikation!$J$51:$J$60</c:f>
              <c:numCache>
                <c:formatCode>;;;</c:formatCode>
                <c:ptCount val="10"/>
                <c:pt idx="0">
                  <c:v>3</c:v>
                </c:pt>
                <c:pt idx="1">
                  <c:v>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70-49CA-A3F1-F8FEBAE4F3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5452384"/>
        <c:axId val="1735464352"/>
      </c:radarChart>
      <c:catAx>
        <c:axId val="1735452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5464352"/>
        <c:crosses val="autoZero"/>
        <c:auto val="1"/>
        <c:lblAlgn val="ctr"/>
        <c:lblOffset val="100"/>
        <c:noMultiLvlLbl val="0"/>
      </c:catAx>
      <c:valAx>
        <c:axId val="1735464352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545238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Kommunikation!$J$65:$J$74</c:f>
              <c:numCache>
                <c:formatCode>;;;</c:formatCode>
                <c:ptCount val="10"/>
                <c:pt idx="0">
                  <c:v>4</c:v>
                </c:pt>
                <c:pt idx="1">
                  <c:v>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34-4E5A-AE77-DE96239192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5456736"/>
        <c:axId val="1735468704"/>
      </c:radarChart>
      <c:catAx>
        <c:axId val="1735456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5468704"/>
        <c:crosses val="autoZero"/>
        <c:auto val="1"/>
        <c:lblAlgn val="ctr"/>
        <c:lblOffset val="100"/>
        <c:noMultiLvlLbl val="0"/>
      </c:catAx>
      <c:valAx>
        <c:axId val="1735468704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545673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Kommunikation!$J$79:$J$88</c:f>
              <c:numCache>
                <c:formatCode>;;;</c:formatCode>
                <c:ptCount val="10"/>
                <c:pt idx="0">
                  <c:v>3</c:v>
                </c:pt>
                <c:pt idx="1">
                  <c:v>3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23-4CA2-93EE-834531C169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5481216"/>
        <c:axId val="1735467616"/>
      </c:radarChart>
      <c:catAx>
        <c:axId val="1735481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5467616"/>
        <c:crosses val="autoZero"/>
        <c:auto val="1"/>
        <c:lblAlgn val="ctr"/>
        <c:lblOffset val="100"/>
        <c:noMultiLvlLbl val="0"/>
      </c:catAx>
      <c:valAx>
        <c:axId val="1735467616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548121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Lines="3" dropStyle="combo" dx="16" fmlaLink="' '!$B$4" fmlaRange="' '!$Z$6:$Z$8" noThreeD="1" sel="1" val="0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firstButton="1" fmlaLink="$B$119" lockText="1"/>
</file>

<file path=xl/ctrlProps/ctrlProp4.xml><?xml version="1.0" encoding="utf-8"?>
<formControlPr xmlns="http://schemas.microsoft.com/office/spreadsheetml/2009/9/main" objectType="Radio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Radio" checked="Checked" lockText="1"/>
</file>

<file path=xl/ctrlProps/ctrlProp7.xml><?xml version="1.0" encoding="utf-8"?>
<formControlPr xmlns="http://schemas.microsoft.com/office/spreadsheetml/2009/9/main" objectType="Radio" lockText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Radio" firstButton="1" fmlaLink="$B$120" lockText="1"/>
</file>

<file path=xl/ctrlProps/ctrlProp10.xml><?xml version="1.0" encoding="utf-8"?>
<formControlPr xmlns="http://schemas.microsoft.com/office/spreadsheetml/2009/9/main" objectType="Radio" lockText="1"/>
</file>

<file path=xl/ctrlProps/ctrlProp11.xml><?xml version="1.0" encoding="utf-8"?>
<formControlPr xmlns="http://schemas.microsoft.com/office/spreadsheetml/2009/9/main" objectType="Radio" checked="Checked" lockText="1"/>
</file>

<file path=xl/ctrlProps/ctrlProp12.xml><?xml version="1.0" encoding="utf-8"?>
<formControlPr xmlns="http://schemas.microsoft.com/office/spreadsheetml/2009/9/main" objectType="Radio" lockText="1"/>
</file>

<file path=xl/ctrlProps/ctrlProp13.xml><?xml version="1.0" encoding="utf-8"?>
<formControlPr xmlns="http://schemas.microsoft.com/office/spreadsheetml/2009/9/main" objectType="Radio" lockText="1"/>
</file>

<file path=xl/ctrlProps/ctrlProp14.xml><?xml version="1.0" encoding="utf-8"?>
<formControlPr xmlns="http://schemas.microsoft.com/office/spreadsheetml/2009/9/main" objectType="GBox" noThreeD="1"/>
</file>

<file path=xl/ctrlProps/ctrlProp15.xml><?xml version="1.0" encoding="utf-8"?>
<formControlPr xmlns="http://schemas.microsoft.com/office/spreadsheetml/2009/9/main" objectType="Radio" firstButton="1" fmlaLink="$B$121" lockText="1"/>
</file>

<file path=xl/ctrlProps/ctrlProp16.xml><?xml version="1.0" encoding="utf-8"?>
<formControlPr xmlns="http://schemas.microsoft.com/office/spreadsheetml/2009/9/main" objectType="Radio" lockText="1"/>
</file>

<file path=xl/ctrlProps/ctrlProp17.xml><?xml version="1.0" encoding="utf-8"?>
<formControlPr xmlns="http://schemas.microsoft.com/office/spreadsheetml/2009/9/main" objectType="Radio" checked="Checked" lockText="1"/>
</file>

<file path=xl/ctrlProps/ctrlProp18.xml><?xml version="1.0" encoding="utf-8"?>
<formControlPr xmlns="http://schemas.microsoft.com/office/spreadsheetml/2009/9/main" objectType="Radio" lockText="1"/>
</file>

<file path=xl/ctrlProps/ctrlProp19.xml><?xml version="1.0" encoding="utf-8"?>
<formControlPr xmlns="http://schemas.microsoft.com/office/spreadsheetml/2009/9/main" objectType="Radio" lockText="1"/>
</file>

<file path=xl/ctrlProps/ctrlProp20.xml><?xml version="1.0" encoding="utf-8"?>
<formControlPr xmlns="http://schemas.microsoft.com/office/spreadsheetml/2009/9/main" objectType="GBox" noThreeD="1"/>
</file>

<file path=xl/ctrlProps/ctrlProp21.xml><?xml version="1.0" encoding="utf-8"?>
<formControlPr xmlns="http://schemas.microsoft.com/office/spreadsheetml/2009/9/main" objectType="Radio" firstButton="1" fmlaLink="$B$123" lockText="1"/>
</file>

<file path=xl/ctrlProps/ctrlProp22.xml><?xml version="1.0" encoding="utf-8"?>
<formControlPr xmlns="http://schemas.microsoft.com/office/spreadsheetml/2009/9/main" objectType="Radio" lockText="1"/>
</file>

<file path=xl/ctrlProps/ctrlProp23.xml><?xml version="1.0" encoding="utf-8"?>
<formControlPr xmlns="http://schemas.microsoft.com/office/spreadsheetml/2009/9/main" objectType="Radio" lockText="1"/>
</file>

<file path=xl/ctrlProps/ctrlProp24.xml><?xml version="1.0" encoding="utf-8"?>
<formControlPr xmlns="http://schemas.microsoft.com/office/spreadsheetml/2009/9/main" objectType="Radio" lockText="1"/>
</file>

<file path=xl/ctrlProps/ctrlProp25.xml><?xml version="1.0" encoding="utf-8"?>
<formControlPr xmlns="http://schemas.microsoft.com/office/spreadsheetml/2009/9/main" objectType="Radio" checked="Checked" lockText="1"/>
</file>

<file path=xl/ctrlProps/ctrlProp26.xml><?xml version="1.0" encoding="utf-8"?>
<formControlPr xmlns="http://schemas.microsoft.com/office/spreadsheetml/2009/9/main" objectType="GBox" noThreeD="1"/>
</file>

<file path=xl/ctrlProps/ctrlProp27.xml><?xml version="1.0" encoding="utf-8"?>
<formControlPr xmlns="http://schemas.microsoft.com/office/spreadsheetml/2009/9/main" objectType="Radio" firstButton="1" fmlaLink="$B$124" lockText="1"/>
</file>

<file path=xl/ctrlProps/ctrlProp28.xml><?xml version="1.0" encoding="utf-8"?>
<formControlPr xmlns="http://schemas.microsoft.com/office/spreadsheetml/2009/9/main" objectType="Radio" checked="Checked" lockText="1"/>
</file>

<file path=xl/ctrlProps/ctrlProp29.xml><?xml version="1.0" encoding="utf-8"?>
<formControlPr xmlns="http://schemas.microsoft.com/office/spreadsheetml/2009/9/main" objectType="Radio" lockText="1"/>
</file>

<file path=xl/ctrlProps/ctrlProp30.xml><?xml version="1.0" encoding="utf-8"?>
<formControlPr xmlns="http://schemas.microsoft.com/office/spreadsheetml/2009/9/main" objectType="Radio" lockText="1"/>
</file>

<file path=xl/ctrlProps/ctrlProp31.xml><?xml version="1.0" encoding="utf-8"?>
<formControlPr xmlns="http://schemas.microsoft.com/office/spreadsheetml/2009/9/main" objectType="Radio" lockText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Radio" firstButton="1" fmlaLink="$B$125" lockText="1"/>
</file>

<file path=xl/ctrlProps/ctrlProp34.xml><?xml version="1.0" encoding="utf-8"?>
<formControlPr xmlns="http://schemas.microsoft.com/office/spreadsheetml/2009/9/main" objectType="Radio" lockText="1"/>
</file>

<file path=xl/ctrlProps/ctrlProp35.xml><?xml version="1.0" encoding="utf-8"?>
<formControlPr xmlns="http://schemas.microsoft.com/office/spreadsheetml/2009/9/main" objectType="Radio" lockText="1"/>
</file>

<file path=xl/ctrlProps/ctrlProp36.xml><?xml version="1.0" encoding="utf-8"?>
<formControlPr xmlns="http://schemas.microsoft.com/office/spreadsheetml/2009/9/main" objectType="Radio" checked="Checked" lockText="1"/>
</file>

<file path=xl/ctrlProps/ctrlProp37.xml><?xml version="1.0" encoding="utf-8"?>
<formControlPr xmlns="http://schemas.microsoft.com/office/spreadsheetml/2009/9/main" objectType="Radio" lockText="1"/>
</file>

<file path=xl/ctrlProps/ctrlProp38.xml><?xml version="1.0" encoding="utf-8"?>
<formControlPr xmlns="http://schemas.microsoft.com/office/spreadsheetml/2009/9/main" objectType="GBox" noThreeD="1"/>
</file>

<file path=xl/ctrlProps/ctrlProp39.xml><?xml version="1.0" encoding="utf-8"?>
<formControlPr xmlns="http://schemas.microsoft.com/office/spreadsheetml/2009/9/main" objectType="Radio" firstButton="1" fmlaLink="$B$132" lockText="1"/>
</file>

<file path=xl/ctrlProps/ctrlProp40.xml><?xml version="1.0" encoding="utf-8"?>
<formControlPr xmlns="http://schemas.microsoft.com/office/spreadsheetml/2009/9/main" objectType="Radio" lockText="1"/>
</file>

<file path=xl/ctrlProps/ctrlProp41.xml><?xml version="1.0" encoding="utf-8"?>
<formControlPr xmlns="http://schemas.microsoft.com/office/spreadsheetml/2009/9/main" objectType="Radio" lockText="1"/>
</file>

<file path=xl/ctrlProps/ctrlProp42.xml><?xml version="1.0" encoding="utf-8"?>
<formControlPr xmlns="http://schemas.microsoft.com/office/spreadsheetml/2009/9/main" objectType="Radio" lockText="1"/>
</file>

<file path=xl/ctrlProps/ctrlProp43.xml><?xml version="1.0" encoding="utf-8"?>
<formControlPr xmlns="http://schemas.microsoft.com/office/spreadsheetml/2009/9/main" objectType="Radio" checked="Checked" lockText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Radio" firstButton="1" fmlaLink="$B$133" lockText="1"/>
</file>

<file path=xl/ctrlProps/ctrlProp46.xml><?xml version="1.0" encoding="utf-8"?>
<formControlPr xmlns="http://schemas.microsoft.com/office/spreadsheetml/2009/9/main" objectType="Radio" lockText="1"/>
</file>

<file path=xl/ctrlProps/ctrlProp47.xml><?xml version="1.0" encoding="utf-8"?>
<formControlPr xmlns="http://schemas.microsoft.com/office/spreadsheetml/2009/9/main" objectType="Radio" lockText="1"/>
</file>

<file path=xl/ctrlProps/ctrlProp48.xml><?xml version="1.0" encoding="utf-8"?>
<formControlPr xmlns="http://schemas.microsoft.com/office/spreadsheetml/2009/9/main" objectType="Radio" checked="Checked" lockText="1"/>
</file>

<file path=xl/ctrlProps/ctrlProp49.xml><?xml version="1.0" encoding="utf-8"?>
<formControlPr xmlns="http://schemas.microsoft.com/office/spreadsheetml/2009/9/main" objectType="Radio" lockText="1"/>
</file>

<file path=xl/ctrlProps/ctrlProp50.xml><?xml version="1.0" encoding="utf-8"?>
<formControlPr xmlns="http://schemas.microsoft.com/office/spreadsheetml/2009/9/main" objectType="GBox" noThreeD="1"/>
</file>

<file path=xl/ctrlProps/ctrlProp51.xml><?xml version="1.0" encoding="utf-8"?>
<formControlPr xmlns="http://schemas.microsoft.com/office/spreadsheetml/2009/9/main" objectType="Radio" firstButton="1" fmlaLink="$B$134" lockText="1"/>
</file>

<file path=xl/ctrlProps/ctrlProp52.xml><?xml version="1.0" encoding="utf-8"?>
<formControlPr xmlns="http://schemas.microsoft.com/office/spreadsheetml/2009/9/main" objectType="Radio" checked="Checked" lockText="1"/>
</file>

<file path=xl/ctrlProps/ctrlProp53.xml><?xml version="1.0" encoding="utf-8"?>
<formControlPr xmlns="http://schemas.microsoft.com/office/spreadsheetml/2009/9/main" objectType="Radio" lockText="1"/>
</file>

<file path=xl/ctrlProps/ctrlProp54.xml><?xml version="1.0" encoding="utf-8"?>
<formControlPr xmlns="http://schemas.microsoft.com/office/spreadsheetml/2009/9/main" objectType="Radio" lockText="1"/>
</file>

<file path=xl/ctrlProps/ctrlProp55.xml><?xml version="1.0" encoding="utf-8"?>
<formControlPr xmlns="http://schemas.microsoft.com/office/spreadsheetml/2009/9/main" objectType="Radio" lockText="1"/>
</file>

<file path=xl/ctrlProps/ctrlProp56.xml><?xml version="1.0" encoding="utf-8"?>
<formControlPr xmlns="http://schemas.microsoft.com/office/spreadsheetml/2009/9/main" objectType="GBox" noThreeD="1"/>
</file>

<file path=xl/ctrlProps/ctrlProp57.xml><?xml version="1.0" encoding="utf-8"?>
<formControlPr xmlns="http://schemas.microsoft.com/office/spreadsheetml/2009/9/main" objectType="Radio" firstButton="1" fmlaLink="$B$135" lockText="1"/>
</file>

<file path=xl/ctrlProps/ctrlProp58.xml><?xml version="1.0" encoding="utf-8"?>
<formControlPr xmlns="http://schemas.microsoft.com/office/spreadsheetml/2009/9/main" objectType="Radio" checked="Checked" lockText="1"/>
</file>

<file path=xl/ctrlProps/ctrlProp59.xml><?xml version="1.0" encoding="utf-8"?>
<formControlPr xmlns="http://schemas.microsoft.com/office/spreadsheetml/2009/9/main" objectType="Radio" lockText="1"/>
</file>

<file path=xl/ctrlProps/ctrlProp60.xml><?xml version="1.0" encoding="utf-8"?>
<formControlPr xmlns="http://schemas.microsoft.com/office/spreadsheetml/2009/9/main" objectType="Radio" lockText="1"/>
</file>

<file path=xl/ctrlProps/ctrlProp61.xml><?xml version="1.0" encoding="utf-8"?>
<formControlPr xmlns="http://schemas.microsoft.com/office/spreadsheetml/2009/9/main" objectType="Radio" lockText="1"/>
</file>

<file path=xl/ctrlProps/ctrlProp62.xml><?xml version="1.0" encoding="utf-8"?>
<formControlPr xmlns="http://schemas.microsoft.com/office/spreadsheetml/2009/9/main" objectType="GBox" noThreeD="1"/>
</file>

<file path=xl/ctrlProps/ctrlProp63.xml><?xml version="1.0" encoding="utf-8"?>
<formControlPr xmlns="http://schemas.microsoft.com/office/spreadsheetml/2009/9/main" objectType="Radio" firstButton="1" fmlaLink="$B$118" lockText="1"/>
</file>

<file path=xl/ctrlProps/ctrlProp64.xml><?xml version="1.0" encoding="utf-8"?>
<formControlPr xmlns="http://schemas.microsoft.com/office/spreadsheetml/2009/9/main" objectType="Radio" lockText="1"/>
</file>

<file path=xl/ctrlProps/ctrlProp65.xml><?xml version="1.0" encoding="utf-8"?>
<formControlPr xmlns="http://schemas.microsoft.com/office/spreadsheetml/2009/9/main" objectType="Radio" checked="Checked" lockText="1"/>
</file>

<file path=xl/ctrlProps/ctrlProp66.xml><?xml version="1.0" encoding="utf-8"?>
<formControlPr xmlns="http://schemas.microsoft.com/office/spreadsheetml/2009/9/main" objectType="Radio" lockText="1"/>
</file>

<file path=xl/ctrlProps/ctrlProp67.xml><?xml version="1.0" encoding="utf-8"?>
<formControlPr xmlns="http://schemas.microsoft.com/office/spreadsheetml/2009/9/main" objectType="Radio" lockText="1"/>
</file>

<file path=xl/ctrlProps/ctrlProp68.xml><?xml version="1.0" encoding="utf-8"?>
<formControlPr xmlns="http://schemas.microsoft.com/office/spreadsheetml/2009/9/main" objectType="GBox" noThreeD="1"/>
</file>

<file path=xl/ctrlProps/ctrlProp69.xml><?xml version="1.0" encoding="utf-8"?>
<formControlPr xmlns="http://schemas.microsoft.com/office/spreadsheetml/2009/9/main" objectType="Radio" firstButton="1" fmlaLink="$B$126" lockText="1"/>
</file>

<file path=xl/ctrlProps/ctrlProp70.xml><?xml version="1.0" encoding="utf-8"?>
<formControlPr xmlns="http://schemas.microsoft.com/office/spreadsheetml/2009/9/main" objectType="Radio" lockText="1"/>
</file>

<file path=xl/ctrlProps/ctrlProp71.xml><?xml version="1.0" encoding="utf-8"?>
<formControlPr xmlns="http://schemas.microsoft.com/office/spreadsheetml/2009/9/main" objectType="Radio" lockText="1"/>
</file>

<file path=xl/ctrlProps/ctrlProp72.xml><?xml version="1.0" encoding="utf-8"?>
<formControlPr xmlns="http://schemas.microsoft.com/office/spreadsheetml/2009/9/main" objectType="Radio" checked="Checked" lockText="1"/>
</file>

<file path=xl/ctrlProps/ctrlProp73.xml><?xml version="1.0" encoding="utf-8"?>
<formControlPr xmlns="http://schemas.microsoft.com/office/spreadsheetml/2009/9/main" objectType="Radio" lockText="1"/>
</file>

<file path=xl/ctrlProps/ctrlProp74.xml><?xml version="1.0" encoding="utf-8"?>
<formControlPr xmlns="http://schemas.microsoft.com/office/spreadsheetml/2009/9/main" objectType="GBox" noThreeD="1"/>
</file>

<file path=xl/ctrlProps/ctrlProp75.xml><?xml version="1.0" encoding="utf-8"?>
<formControlPr xmlns="http://schemas.microsoft.com/office/spreadsheetml/2009/9/main" objectType="Radio" firstButton="1" fmlaLink="$B$127" lockText="1"/>
</file>

<file path=xl/ctrlProps/ctrlProp76.xml><?xml version="1.0" encoding="utf-8"?>
<formControlPr xmlns="http://schemas.microsoft.com/office/spreadsheetml/2009/9/main" objectType="Radio" lockText="1"/>
</file>

<file path=xl/ctrlProps/ctrlProp77.xml><?xml version="1.0" encoding="utf-8"?>
<formControlPr xmlns="http://schemas.microsoft.com/office/spreadsheetml/2009/9/main" objectType="Radio" checked="Checked" lockText="1"/>
</file>

<file path=xl/ctrlProps/ctrlProp78.xml><?xml version="1.0" encoding="utf-8"?>
<formControlPr xmlns="http://schemas.microsoft.com/office/spreadsheetml/2009/9/main" objectType="Radio" lockText="1"/>
</file>

<file path=xl/ctrlProps/ctrlProp79.xml><?xml version="1.0" encoding="utf-8"?>
<formControlPr xmlns="http://schemas.microsoft.com/office/spreadsheetml/2009/9/main" objectType="Radio" lockText="1"/>
</file>

<file path=xl/ctrlProps/ctrlProp80.xml><?xml version="1.0" encoding="utf-8"?>
<formControlPr xmlns="http://schemas.microsoft.com/office/spreadsheetml/2009/9/main" objectType="GBox" noThreeD="1"/>
</file>

<file path=xl/ctrlProps/ctrlProp81.xml><?xml version="1.0" encoding="utf-8"?>
<formControlPr xmlns="http://schemas.microsoft.com/office/spreadsheetml/2009/9/main" objectType="Radio" firstButton="1" fmlaLink="$B$128" lockText="1"/>
</file>

<file path=xl/ctrlProps/ctrlProp82.xml><?xml version="1.0" encoding="utf-8"?>
<formControlPr xmlns="http://schemas.microsoft.com/office/spreadsheetml/2009/9/main" objectType="Radio" checked="Checked" lockText="1"/>
</file>

<file path=xl/ctrlProps/ctrlProp83.xml><?xml version="1.0" encoding="utf-8"?>
<formControlPr xmlns="http://schemas.microsoft.com/office/spreadsheetml/2009/9/main" objectType="Radio" lockText="1"/>
</file>

<file path=xl/ctrlProps/ctrlProp84.xml><?xml version="1.0" encoding="utf-8"?>
<formControlPr xmlns="http://schemas.microsoft.com/office/spreadsheetml/2009/9/main" objectType="Radio" lockText="1"/>
</file>

<file path=xl/ctrlProps/ctrlProp85.xml><?xml version="1.0" encoding="utf-8"?>
<formControlPr xmlns="http://schemas.microsoft.com/office/spreadsheetml/2009/9/main" objectType="Radio" lockText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Radio" firstButton="1" fmlaLink="$B$129" lockText="1"/>
</file>

<file path=xl/ctrlProps/ctrlProp88.xml><?xml version="1.0" encoding="utf-8"?>
<formControlPr xmlns="http://schemas.microsoft.com/office/spreadsheetml/2009/9/main" objectType="Radio" checked="Checked" lockText="1"/>
</file>

<file path=xl/ctrlProps/ctrlProp89.xml><?xml version="1.0" encoding="utf-8"?>
<formControlPr xmlns="http://schemas.microsoft.com/office/spreadsheetml/2009/9/main" objectType="Radio" lockText="1"/>
</file>

<file path=xl/ctrlProps/ctrlProp90.xml><?xml version="1.0" encoding="utf-8"?>
<formControlPr xmlns="http://schemas.microsoft.com/office/spreadsheetml/2009/9/main" objectType="Radio" lockText="1"/>
</file>

<file path=xl/ctrlProps/ctrlProp91.xml><?xml version="1.0" encoding="utf-8"?>
<formControlPr xmlns="http://schemas.microsoft.com/office/spreadsheetml/2009/9/main" objectType="Radio" lockText="1"/>
</file>

<file path=xl/ctrlProps/ctrlProp92.xml><?xml version="1.0" encoding="utf-8"?>
<formControlPr xmlns="http://schemas.microsoft.com/office/spreadsheetml/2009/9/main" objectType="GBox" noThreeD="1"/>
</file>

<file path=xl/ctrlProps/ctrlProp93.xml><?xml version="1.0" encoding="utf-8"?>
<formControlPr xmlns="http://schemas.microsoft.com/office/spreadsheetml/2009/9/main" objectType="Radio" firstButton="1" fmlaLink="$B$130" lockText="1"/>
</file>

<file path=xl/ctrlProps/ctrlProp94.xml><?xml version="1.0" encoding="utf-8"?>
<formControlPr xmlns="http://schemas.microsoft.com/office/spreadsheetml/2009/9/main" objectType="Radio" lockText="1"/>
</file>

<file path=xl/ctrlProps/ctrlProp95.xml><?xml version="1.0" encoding="utf-8"?>
<formControlPr xmlns="http://schemas.microsoft.com/office/spreadsheetml/2009/9/main" objectType="Radio" checked="Checked" lockText="1"/>
</file>

<file path=xl/ctrlProps/ctrlProp96.xml><?xml version="1.0" encoding="utf-8"?>
<formControlPr xmlns="http://schemas.microsoft.com/office/spreadsheetml/2009/9/main" objectType="Radio" lockText="1"/>
</file>

<file path=xl/ctrlProps/ctrlProp97.xml><?xml version="1.0" encoding="utf-8"?>
<formControlPr xmlns="http://schemas.microsoft.com/office/spreadsheetml/2009/9/main" objectType="Radio" lockText="1"/>
</file>

<file path=xl/ctrlProps/ctrlProp98.xml><?xml version="1.0" encoding="utf-8"?>
<formControlPr xmlns="http://schemas.microsoft.com/office/spreadsheetml/2009/9/main" objectType="GBox" noThreeD="1"/>
</file>

<file path=xl/ctrlProps/ctrlProp99.xml><?xml version="1.0" encoding="utf-8"?>
<formControlPr xmlns="http://schemas.microsoft.com/office/spreadsheetml/2009/9/main" objectType="Radio" firstButton="1" fmlaLink="$B$137" lockText="1"/>
</file>

<file path=xl/ctrlProps/ctrlProp100.xml><?xml version="1.0" encoding="utf-8"?>
<formControlPr xmlns="http://schemas.microsoft.com/office/spreadsheetml/2009/9/main" objectType="Radio" lockText="1"/>
</file>

<file path=xl/ctrlProps/ctrlProp101.xml><?xml version="1.0" encoding="utf-8"?>
<formControlPr xmlns="http://schemas.microsoft.com/office/spreadsheetml/2009/9/main" objectType="Radio" checked="Checked" lockText="1"/>
</file>

<file path=xl/ctrlProps/ctrlProp102.xml><?xml version="1.0" encoding="utf-8"?>
<formControlPr xmlns="http://schemas.microsoft.com/office/spreadsheetml/2009/9/main" objectType="Radio" lockText="1"/>
</file>

<file path=xl/ctrlProps/ctrlProp103.xml><?xml version="1.0" encoding="utf-8"?>
<formControlPr xmlns="http://schemas.microsoft.com/office/spreadsheetml/2009/9/main" objectType="Radio" lockText="1"/>
</file>

<file path=xl/ctrlProps/ctrlProp104.xml><?xml version="1.0" encoding="utf-8"?>
<formControlPr xmlns="http://schemas.microsoft.com/office/spreadsheetml/2009/9/main" objectType="GBox" noThreeD="1"/>
</file>

<file path=xl/ctrlProps/ctrlProp105.xml><?xml version="1.0" encoding="utf-8"?>
<formControlPr xmlns="http://schemas.microsoft.com/office/spreadsheetml/2009/9/main" objectType="Radio" firstButton="1" fmlaLink="$B$138" lockText="1"/>
</file>

<file path=xl/ctrlProps/ctrlProp106.xml><?xml version="1.0" encoding="utf-8"?>
<formControlPr xmlns="http://schemas.microsoft.com/office/spreadsheetml/2009/9/main" objectType="Radio" checked="Checked" lockText="1"/>
</file>

<file path=xl/ctrlProps/ctrlProp107.xml><?xml version="1.0" encoding="utf-8"?>
<formControlPr xmlns="http://schemas.microsoft.com/office/spreadsheetml/2009/9/main" objectType="Radio" lockText="1"/>
</file>

<file path=xl/ctrlProps/ctrlProp108.xml><?xml version="1.0" encoding="utf-8"?>
<formControlPr xmlns="http://schemas.microsoft.com/office/spreadsheetml/2009/9/main" objectType="Radio" lockText="1"/>
</file>

<file path=xl/ctrlProps/ctrlProp109.xml><?xml version="1.0" encoding="utf-8"?>
<formControlPr xmlns="http://schemas.microsoft.com/office/spreadsheetml/2009/9/main" objectType="Radio" lockText="1"/>
</file>

<file path=xl/ctrlProps/ctrlProp110.xml><?xml version="1.0" encoding="utf-8"?>
<formControlPr xmlns="http://schemas.microsoft.com/office/spreadsheetml/2009/9/main" objectType="GBox" noThreeD="1"/>
</file>

<file path=xl/ctrlProps/ctrlProp111.xml><?xml version="1.0" encoding="utf-8"?>
<formControlPr xmlns="http://schemas.microsoft.com/office/spreadsheetml/2009/9/main" objectType="Radio" checked="Checked" firstButton="1" fmlaLink="$B$139" lockText="1"/>
</file>

<file path=xl/ctrlProps/ctrlProp112.xml><?xml version="1.0" encoding="utf-8"?>
<formControlPr xmlns="http://schemas.microsoft.com/office/spreadsheetml/2009/9/main" objectType="Radio" lockText="1"/>
</file>

<file path=xl/ctrlProps/ctrlProp113.xml><?xml version="1.0" encoding="utf-8"?>
<formControlPr xmlns="http://schemas.microsoft.com/office/spreadsheetml/2009/9/main" objectType="Radio" lockText="1"/>
</file>

<file path=xl/ctrlProps/ctrlProp114.xml><?xml version="1.0" encoding="utf-8"?>
<formControlPr xmlns="http://schemas.microsoft.com/office/spreadsheetml/2009/9/main" objectType="Radio" lockText="1"/>
</file>

<file path=xl/ctrlProps/ctrlProp115.xml><?xml version="1.0" encoding="utf-8"?>
<formControlPr xmlns="http://schemas.microsoft.com/office/spreadsheetml/2009/9/main" objectType="Radio" lockText="1"/>
</file>

<file path=xl/ctrlProps/ctrlProp116.xml><?xml version="1.0" encoding="utf-8"?>
<formControlPr xmlns="http://schemas.microsoft.com/office/spreadsheetml/2009/9/main" objectType="GBox" noThreeD="1"/>
</file>

<file path=xl/ctrlProps/ctrlProp117.xml><?xml version="1.0" encoding="utf-8"?>
<formControlPr xmlns="http://schemas.microsoft.com/office/spreadsheetml/2009/9/main" objectType="Radio" checked="Checked" firstButton="1" fmlaLink="$B$141" lockText="1"/>
</file>

<file path=xl/ctrlProps/ctrlProp118.xml><?xml version="1.0" encoding="utf-8"?>
<formControlPr xmlns="http://schemas.microsoft.com/office/spreadsheetml/2009/9/main" objectType="Radio" lockText="1"/>
</file>

<file path=xl/ctrlProps/ctrlProp119.xml><?xml version="1.0" encoding="utf-8"?>
<formControlPr xmlns="http://schemas.microsoft.com/office/spreadsheetml/2009/9/main" objectType="Radio" lockText="1"/>
</file>

<file path=xl/ctrlProps/ctrlProp120.xml><?xml version="1.0" encoding="utf-8"?>
<formControlPr xmlns="http://schemas.microsoft.com/office/spreadsheetml/2009/9/main" objectType="Radio" lockText="1"/>
</file>

<file path=xl/ctrlProps/ctrlProp121.xml><?xml version="1.0" encoding="utf-8"?>
<formControlPr xmlns="http://schemas.microsoft.com/office/spreadsheetml/2009/9/main" objectType="Radio" lockText="1"/>
</file>

<file path=xl/ctrlProps/ctrlProp122.xml><?xml version="1.0" encoding="utf-8"?>
<formControlPr xmlns="http://schemas.microsoft.com/office/spreadsheetml/2009/9/main" objectType="GBox" noThreeD="1"/>
</file>

<file path=xl/ctrlProps/ctrlProp123.xml><?xml version="1.0" encoding="utf-8"?>
<formControlPr xmlns="http://schemas.microsoft.com/office/spreadsheetml/2009/9/main" objectType="Radio" firstButton="1" fmlaLink="$B$142" lockText="1"/>
</file>

<file path=xl/ctrlProps/ctrlProp124.xml><?xml version="1.0" encoding="utf-8"?>
<formControlPr xmlns="http://schemas.microsoft.com/office/spreadsheetml/2009/9/main" objectType="Radio" lockText="1"/>
</file>

<file path=xl/ctrlProps/ctrlProp125.xml><?xml version="1.0" encoding="utf-8"?>
<formControlPr xmlns="http://schemas.microsoft.com/office/spreadsheetml/2009/9/main" objectType="Radio" checked="Checked" lockText="1"/>
</file>

<file path=xl/ctrlProps/ctrlProp126.xml><?xml version="1.0" encoding="utf-8"?>
<formControlPr xmlns="http://schemas.microsoft.com/office/spreadsheetml/2009/9/main" objectType="Radio" lockText="1"/>
</file>

<file path=xl/ctrlProps/ctrlProp127.xml><?xml version="1.0" encoding="utf-8"?>
<formControlPr xmlns="http://schemas.microsoft.com/office/spreadsheetml/2009/9/main" objectType="Radio" lockText="1"/>
</file>

<file path=xl/ctrlProps/ctrlProp128.xml><?xml version="1.0" encoding="utf-8"?>
<formControlPr xmlns="http://schemas.microsoft.com/office/spreadsheetml/2009/9/main" objectType="GBox" noThreeD="1"/>
</file>

<file path=xl/ctrlProps/ctrlProp129.xml><?xml version="1.0" encoding="utf-8"?>
<formControlPr xmlns="http://schemas.microsoft.com/office/spreadsheetml/2009/9/main" objectType="Radio" firstButton="1" fmlaLink="$B$143" lockText="1"/>
</file>

<file path=xl/ctrlProps/ctrlProp130.xml><?xml version="1.0" encoding="utf-8"?>
<formControlPr xmlns="http://schemas.microsoft.com/office/spreadsheetml/2009/9/main" objectType="Radio" lockText="1"/>
</file>

<file path=xl/ctrlProps/ctrlProp131.xml><?xml version="1.0" encoding="utf-8"?>
<formControlPr xmlns="http://schemas.microsoft.com/office/spreadsheetml/2009/9/main" objectType="Radio" lockText="1"/>
</file>

<file path=xl/ctrlProps/ctrlProp132.xml><?xml version="1.0" encoding="utf-8"?>
<formControlPr xmlns="http://schemas.microsoft.com/office/spreadsheetml/2009/9/main" objectType="Radio" lockText="1"/>
</file>

<file path=xl/ctrlProps/ctrlProp133.xml><?xml version="1.0" encoding="utf-8"?>
<formControlPr xmlns="http://schemas.microsoft.com/office/spreadsheetml/2009/9/main" objectType="Radio" checked="Checked" lockText="1"/>
</file>

<file path=xl/ctrlProps/ctrlProp134.xml><?xml version="1.0" encoding="utf-8"?>
<formControlPr xmlns="http://schemas.microsoft.com/office/spreadsheetml/2009/9/main" objectType="GBox" noThreeD="1"/>
</file>

<file path=xl/ctrlProps/ctrlProp135.xml><?xml version="1.0" encoding="utf-8"?>
<formControlPr xmlns="http://schemas.microsoft.com/office/spreadsheetml/2009/9/main" objectType="Radio" firstButton="1" fmlaLink="$B$144" lockText="1"/>
</file>

<file path=xl/ctrlProps/ctrlProp136.xml><?xml version="1.0" encoding="utf-8"?>
<formControlPr xmlns="http://schemas.microsoft.com/office/spreadsheetml/2009/9/main" objectType="Radio" checked="Checked" lockText="1"/>
</file>

<file path=xl/ctrlProps/ctrlProp137.xml><?xml version="1.0" encoding="utf-8"?>
<formControlPr xmlns="http://schemas.microsoft.com/office/spreadsheetml/2009/9/main" objectType="Radio" lockText="1"/>
</file>

<file path=xl/ctrlProps/ctrlProp138.xml><?xml version="1.0" encoding="utf-8"?>
<formControlPr xmlns="http://schemas.microsoft.com/office/spreadsheetml/2009/9/main" objectType="Radio" lockText="1"/>
</file>

<file path=xl/ctrlProps/ctrlProp139.xml><?xml version="1.0" encoding="utf-8"?>
<formControlPr xmlns="http://schemas.microsoft.com/office/spreadsheetml/2009/9/main" objectType="Radio" lockText="1"/>
</file>

<file path=xl/ctrlProps/ctrlProp140.xml><?xml version="1.0" encoding="utf-8"?>
<formControlPr xmlns="http://schemas.microsoft.com/office/spreadsheetml/2009/9/main" objectType="GBox" noThreeD="1"/>
</file>

<file path=xl/ctrlProps/ctrlProp141.xml><?xml version="1.0" encoding="utf-8"?>
<formControlPr xmlns="http://schemas.microsoft.com/office/spreadsheetml/2009/9/main" objectType="Radio" firstButton="1" fmlaLink="$B$145" lockText="1"/>
</file>

<file path=xl/ctrlProps/ctrlProp142.xml><?xml version="1.0" encoding="utf-8"?>
<formControlPr xmlns="http://schemas.microsoft.com/office/spreadsheetml/2009/9/main" objectType="Radio" lockText="1"/>
</file>

<file path=xl/ctrlProps/ctrlProp143.xml><?xml version="1.0" encoding="utf-8"?>
<formControlPr xmlns="http://schemas.microsoft.com/office/spreadsheetml/2009/9/main" objectType="Radio" lockText="1"/>
</file>

<file path=xl/ctrlProps/ctrlProp144.xml><?xml version="1.0" encoding="utf-8"?>
<formControlPr xmlns="http://schemas.microsoft.com/office/spreadsheetml/2009/9/main" objectType="Radio" lockText="1"/>
</file>

<file path=xl/ctrlProps/ctrlProp145.xml><?xml version="1.0" encoding="utf-8"?>
<formControlPr xmlns="http://schemas.microsoft.com/office/spreadsheetml/2009/9/main" objectType="Radio" lockText="1"/>
</file>

<file path=xl/ctrlProps/ctrlProp146.xml><?xml version="1.0" encoding="utf-8"?>
<formControlPr xmlns="http://schemas.microsoft.com/office/spreadsheetml/2009/9/main" objectType="GBox" noThreeD="1"/>
</file>

<file path=xl/ctrlProps/ctrlProp147.xml><?xml version="1.0" encoding="utf-8"?>
<formControlPr xmlns="http://schemas.microsoft.com/office/spreadsheetml/2009/9/main" objectType="Radio" firstButton="1" fmlaLink="$B$147" lockText="1"/>
</file>

<file path=xl/ctrlProps/ctrlProp148.xml><?xml version="1.0" encoding="utf-8"?>
<formControlPr xmlns="http://schemas.microsoft.com/office/spreadsheetml/2009/9/main" objectType="Radio" lockText="1"/>
</file>

<file path=xl/ctrlProps/ctrlProp149.xml><?xml version="1.0" encoding="utf-8"?>
<formControlPr xmlns="http://schemas.microsoft.com/office/spreadsheetml/2009/9/main" objectType="Radio" lockText="1"/>
</file>

<file path=xl/ctrlProps/ctrlProp150.xml><?xml version="1.0" encoding="utf-8"?>
<formControlPr xmlns="http://schemas.microsoft.com/office/spreadsheetml/2009/9/main" objectType="Radio" lockText="1"/>
</file>

<file path=xl/ctrlProps/ctrlProp151.xml><?xml version="1.0" encoding="utf-8"?>
<formControlPr xmlns="http://schemas.microsoft.com/office/spreadsheetml/2009/9/main" objectType="Radio" lockText="1"/>
</file>

<file path=xl/ctrlProps/ctrlProp152.xml><?xml version="1.0" encoding="utf-8"?>
<formControlPr xmlns="http://schemas.microsoft.com/office/spreadsheetml/2009/9/main" objectType="GBox" noThreeD="1"/>
</file>

<file path=xl/ctrlProps/ctrlProp153.xml><?xml version="1.0" encoding="utf-8"?>
<formControlPr xmlns="http://schemas.microsoft.com/office/spreadsheetml/2009/9/main" objectType="Radio" firstButton="1" fmlaLink="$B$149" lockText="1"/>
</file>

<file path=xl/ctrlProps/ctrlProp154.xml><?xml version="1.0" encoding="utf-8"?>
<formControlPr xmlns="http://schemas.microsoft.com/office/spreadsheetml/2009/9/main" objectType="Radio" lockText="1"/>
</file>

<file path=xl/ctrlProps/ctrlProp155.xml><?xml version="1.0" encoding="utf-8"?>
<formControlPr xmlns="http://schemas.microsoft.com/office/spreadsheetml/2009/9/main" objectType="Radio" lockText="1"/>
</file>

<file path=xl/ctrlProps/ctrlProp156.xml><?xml version="1.0" encoding="utf-8"?>
<formControlPr xmlns="http://schemas.microsoft.com/office/spreadsheetml/2009/9/main" objectType="Radio" lockText="1"/>
</file>

<file path=xl/ctrlProps/ctrlProp157.xml><?xml version="1.0" encoding="utf-8"?>
<formControlPr xmlns="http://schemas.microsoft.com/office/spreadsheetml/2009/9/main" objectType="Radio" lockText="1"/>
</file>

<file path=xl/ctrlProps/ctrlProp158.xml><?xml version="1.0" encoding="utf-8"?>
<formControlPr xmlns="http://schemas.microsoft.com/office/spreadsheetml/2009/9/main" objectType="GBox" noThreeD="1"/>
</file>

<file path=xl/ctrlProps/ctrlProp159.xml><?xml version="1.0" encoding="utf-8"?>
<formControlPr xmlns="http://schemas.microsoft.com/office/spreadsheetml/2009/9/main" objectType="Radio" firstButton="1" fmlaLink="$B$150" lockText="1"/>
</file>

<file path=xl/ctrlProps/ctrlProp160.xml><?xml version="1.0" encoding="utf-8"?>
<formControlPr xmlns="http://schemas.microsoft.com/office/spreadsheetml/2009/9/main" objectType="Radio" lockText="1"/>
</file>

<file path=xl/ctrlProps/ctrlProp161.xml><?xml version="1.0" encoding="utf-8"?>
<formControlPr xmlns="http://schemas.microsoft.com/office/spreadsheetml/2009/9/main" objectType="Radio" lockText="1"/>
</file>

<file path=xl/ctrlProps/ctrlProp162.xml><?xml version="1.0" encoding="utf-8"?>
<formControlPr xmlns="http://schemas.microsoft.com/office/spreadsheetml/2009/9/main" objectType="Radio" checked="Checked" lockText="1"/>
</file>

<file path=xl/ctrlProps/ctrlProp163.xml><?xml version="1.0" encoding="utf-8"?>
<formControlPr xmlns="http://schemas.microsoft.com/office/spreadsheetml/2009/9/main" objectType="Radio" lockText="1"/>
</file>

<file path=xl/ctrlProps/ctrlProp164.xml><?xml version="1.0" encoding="utf-8"?>
<formControlPr xmlns="http://schemas.microsoft.com/office/spreadsheetml/2009/9/main" objectType="GBox" noThreeD="1"/>
</file>

<file path=xl/ctrlProps/ctrlProp165.xml><?xml version="1.0" encoding="utf-8"?>
<formControlPr xmlns="http://schemas.microsoft.com/office/spreadsheetml/2009/9/main" objectType="Radio" firstButton="1" fmlaLink="$B$151" lockText="1"/>
</file>

<file path=xl/ctrlProps/ctrlProp166.xml><?xml version="1.0" encoding="utf-8"?>
<formControlPr xmlns="http://schemas.microsoft.com/office/spreadsheetml/2009/9/main" objectType="Radio" checked="Checked" lockText="1"/>
</file>

<file path=xl/ctrlProps/ctrlProp167.xml><?xml version="1.0" encoding="utf-8"?>
<formControlPr xmlns="http://schemas.microsoft.com/office/spreadsheetml/2009/9/main" objectType="Radio" lockText="1"/>
</file>

<file path=xl/ctrlProps/ctrlProp168.xml><?xml version="1.0" encoding="utf-8"?>
<formControlPr xmlns="http://schemas.microsoft.com/office/spreadsheetml/2009/9/main" objectType="Radio" lockText="1"/>
</file>

<file path=xl/ctrlProps/ctrlProp169.xml><?xml version="1.0" encoding="utf-8"?>
<formControlPr xmlns="http://schemas.microsoft.com/office/spreadsheetml/2009/9/main" objectType="Radio" lockText="1"/>
</file>

<file path=xl/ctrlProps/ctrlProp170.xml><?xml version="1.0" encoding="utf-8"?>
<formControlPr xmlns="http://schemas.microsoft.com/office/spreadsheetml/2009/9/main" objectType="GBox" noThreeD="1"/>
</file>

<file path=xl/ctrlProps/ctrlProp171.xml><?xml version="1.0" encoding="utf-8"?>
<formControlPr xmlns="http://schemas.microsoft.com/office/spreadsheetml/2009/9/main" objectType="Radio" firstButton="1" fmlaLink="$B$152" lockText="1"/>
</file>

<file path=xl/ctrlProps/ctrlProp172.xml><?xml version="1.0" encoding="utf-8"?>
<formControlPr xmlns="http://schemas.microsoft.com/office/spreadsheetml/2009/9/main" objectType="Radio" lockText="1"/>
</file>

<file path=xl/ctrlProps/ctrlProp173.xml><?xml version="1.0" encoding="utf-8"?>
<formControlPr xmlns="http://schemas.microsoft.com/office/spreadsheetml/2009/9/main" objectType="Radio" lockText="1"/>
</file>

<file path=xl/ctrlProps/ctrlProp174.xml><?xml version="1.0" encoding="utf-8"?>
<formControlPr xmlns="http://schemas.microsoft.com/office/spreadsheetml/2009/9/main" objectType="Radio" lockText="1"/>
</file>

<file path=xl/ctrlProps/ctrlProp175.xml><?xml version="1.0" encoding="utf-8"?>
<formControlPr xmlns="http://schemas.microsoft.com/office/spreadsheetml/2009/9/main" objectType="Radio" lockText="1"/>
</file>

<file path=xl/ctrlProps/ctrlProp176.xml><?xml version="1.0" encoding="utf-8"?>
<formControlPr xmlns="http://schemas.microsoft.com/office/spreadsheetml/2009/9/main" objectType="GBox" noThreeD="1"/>
</file>

<file path=xl/ctrlProps/ctrlProp177.xml><?xml version="1.0" encoding="utf-8"?>
<formControlPr xmlns="http://schemas.microsoft.com/office/spreadsheetml/2009/9/main" objectType="Radio" firstButton="1" fmlaLink="$B$154" lockText="1"/>
</file>

<file path=xl/ctrlProps/ctrlProp178.xml><?xml version="1.0" encoding="utf-8"?>
<formControlPr xmlns="http://schemas.microsoft.com/office/spreadsheetml/2009/9/main" objectType="Radio" lockText="1"/>
</file>

<file path=xl/ctrlProps/ctrlProp179.xml><?xml version="1.0" encoding="utf-8"?>
<formControlPr xmlns="http://schemas.microsoft.com/office/spreadsheetml/2009/9/main" objectType="Radio" lockText="1"/>
</file>

<file path=xl/ctrlProps/ctrlProp180.xml><?xml version="1.0" encoding="utf-8"?>
<formControlPr xmlns="http://schemas.microsoft.com/office/spreadsheetml/2009/9/main" objectType="Radio" checked="Checked" lockText="1"/>
</file>

<file path=xl/ctrlProps/ctrlProp181.xml><?xml version="1.0" encoding="utf-8"?>
<formControlPr xmlns="http://schemas.microsoft.com/office/spreadsheetml/2009/9/main" objectType="Radio" lockText="1"/>
</file>

<file path=xl/ctrlProps/ctrlProp182.xml><?xml version="1.0" encoding="utf-8"?>
<formControlPr xmlns="http://schemas.microsoft.com/office/spreadsheetml/2009/9/main" objectType="GBox" noThreeD="1"/>
</file>

<file path=xl/ctrlProps/ctrlProp183.xml><?xml version="1.0" encoding="utf-8"?>
<formControlPr xmlns="http://schemas.microsoft.com/office/spreadsheetml/2009/9/main" objectType="Radio" firstButton="1" fmlaLink="$B$155" lockText="1"/>
</file>

<file path=xl/ctrlProps/ctrlProp184.xml><?xml version="1.0" encoding="utf-8"?>
<formControlPr xmlns="http://schemas.microsoft.com/office/spreadsheetml/2009/9/main" objectType="Radio" lockText="1"/>
</file>

<file path=xl/ctrlProps/ctrlProp185.xml><?xml version="1.0" encoding="utf-8"?>
<formControlPr xmlns="http://schemas.microsoft.com/office/spreadsheetml/2009/9/main" objectType="Radio" lockText="1"/>
</file>

<file path=xl/ctrlProps/ctrlProp186.xml><?xml version="1.0" encoding="utf-8"?>
<formControlPr xmlns="http://schemas.microsoft.com/office/spreadsheetml/2009/9/main" objectType="Radio" lockText="1"/>
</file>

<file path=xl/ctrlProps/ctrlProp187.xml><?xml version="1.0" encoding="utf-8"?>
<formControlPr xmlns="http://schemas.microsoft.com/office/spreadsheetml/2009/9/main" objectType="Radio" lockText="1"/>
</file>

<file path=xl/ctrlProps/ctrlProp188.xml><?xml version="1.0" encoding="utf-8"?>
<formControlPr xmlns="http://schemas.microsoft.com/office/spreadsheetml/2009/9/main" objectType="GBox" noThreeD="1"/>
</file>

<file path=xl/ctrlProps/ctrlProp189.xml><?xml version="1.0" encoding="utf-8"?>
<formControlPr xmlns="http://schemas.microsoft.com/office/spreadsheetml/2009/9/main" objectType="Radio" firstButton="1" fmlaLink="$B$156" lockText="1"/>
</file>

<file path=xl/ctrlProps/ctrlProp190.xml><?xml version="1.0" encoding="utf-8"?>
<formControlPr xmlns="http://schemas.microsoft.com/office/spreadsheetml/2009/9/main" objectType="Radio" lockText="1"/>
</file>

<file path=xl/ctrlProps/ctrlProp191.xml><?xml version="1.0" encoding="utf-8"?>
<formControlPr xmlns="http://schemas.microsoft.com/office/spreadsheetml/2009/9/main" objectType="Radio" lockText="1"/>
</file>

<file path=xl/ctrlProps/ctrlProp192.xml><?xml version="1.0" encoding="utf-8"?>
<formControlPr xmlns="http://schemas.microsoft.com/office/spreadsheetml/2009/9/main" objectType="Radio" lockText="1"/>
</file>

<file path=xl/ctrlProps/ctrlProp193.xml><?xml version="1.0" encoding="utf-8"?>
<formControlPr xmlns="http://schemas.microsoft.com/office/spreadsheetml/2009/9/main" objectType="Radio" lockText="1"/>
</file>

<file path=xl/ctrlProps/ctrlProp194.xml><?xml version="1.0" encoding="utf-8"?>
<formControlPr xmlns="http://schemas.microsoft.com/office/spreadsheetml/2009/9/main" objectType="GBox" noThreeD="1"/>
</file>

<file path=xl/ctrlProps/ctrlProp195.xml><?xml version="1.0" encoding="utf-8"?>
<formControlPr xmlns="http://schemas.microsoft.com/office/spreadsheetml/2009/9/main" objectType="Radio" firstButton="1" fmlaLink="$B$158" lockText="1"/>
</file>

<file path=xl/ctrlProps/ctrlProp196.xml><?xml version="1.0" encoding="utf-8"?>
<formControlPr xmlns="http://schemas.microsoft.com/office/spreadsheetml/2009/9/main" objectType="Radio" lockText="1"/>
</file>

<file path=xl/ctrlProps/ctrlProp197.xml><?xml version="1.0" encoding="utf-8"?>
<formControlPr xmlns="http://schemas.microsoft.com/office/spreadsheetml/2009/9/main" objectType="Radio" checked="Checked" lockText="1"/>
</file>

<file path=xl/ctrlProps/ctrlProp198.xml><?xml version="1.0" encoding="utf-8"?>
<formControlPr xmlns="http://schemas.microsoft.com/office/spreadsheetml/2009/9/main" objectType="Radio" lockText="1"/>
</file>

<file path=xl/ctrlProps/ctrlProp199.xml><?xml version="1.0" encoding="utf-8"?>
<formControlPr xmlns="http://schemas.microsoft.com/office/spreadsheetml/2009/9/main" objectType="Radio" lockText="1"/>
</file>

<file path=xl/ctrlProps/ctrlProp200.xml><?xml version="1.0" encoding="utf-8"?>
<formControlPr xmlns="http://schemas.microsoft.com/office/spreadsheetml/2009/9/main" objectType="GBox" noThreeD="1"/>
</file>

<file path=xl/ctrlProps/ctrlProp201.xml><?xml version="1.0" encoding="utf-8"?>
<formControlPr xmlns="http://schemas.microsoft.com/office/spreadsheetml/2009/9/main" objectType="Radio" firstButton="1" fmlaLink="$B$159" lockText="1"/>
</file>

<file path=xl/ctrlProps/ctrlProp202.xml><?xml version="1.0" encoding="utf-8"?>
<formControlPr xmlns="http://schemas.microsoft.com/office/spreadsheetml/2009/9/main" objectType="Radio" lockText="1"/>
</file>

<file path=xl/ctrlProps/ctrlProp203.xml><?xml version="1.0" encoding="utf-8"?>
<formControlPr xmlns="http://schemas.microsoft.com/office/spreadsheetml/2009/9/main" objectType="Radio" lockText="1"/>
</file>

<file path=xl/ctrlProps/ctrlProp204.xml><?xml version="1.0" encoding="utf-8"?>
<formControlPr xmlns="http://schemas.microsoft.com/office/spreadsheetml/2009/9/main" objectType="Radio" lockText="1"/>
</file>

<file path=xl/ctrlProps/ctrlProp205.xml><?xml version="1.0" encoding="utf-8"?>
<formControlPr xmlns="http://schemas.microsoft.com/office/spreadsheetml/2009/9/main" objectType="Radio" lockText="1"/>
</file>

<file path=xl/ctrlProps/ctrlProp206.xml><?xml version="1.0" encoding="utf-8"?>
<formControlPr xmlns="http://schemas.microsoft.com/office/spreadsheetml/2009/9/main" objectType="GBox" noThreeD="1"/>
</file>

<file path=xl/ctrlProps/ctrlProp207.xml><?xml version="1.0" encoding="utf-8"?>
<formControlPr xmlns="http://schemas.microsoft.com/office/spreadsheetml/2009/9/main" objectType="Radio" firstButton="1" fmlaLink="$B$160" lockText="1"/>
</file>

<file path=xl/ctrlProps/ctrlProp208.xml><?xml version="1.0" encoding="utf-8"?>
<formControlPr xmlns="http://schemas.microsoft.com/office/spreadsheetml/2009/9/main" objectType="Radio" lockText="1"/>
</file>

<file path=xl/ctrlProps/ctrlProp209.xml><?xml version="1.0" encoding="utf-8"?>
<formControlPr xmlns="http://schemas.microsoft.com/office/spreadsheetml/2009/9/main" objectType="Radio" lockText="1"/>
</file>

<file path=xl/ctrlProps/ctrlProp210.xml><?xml version="1.0" encoding="utf-8"?>
<formControlPr xmlns="http://schemas.microsoft.com/office/spreadsheetml/2009/9/main" objectType="Radio" lockText="1"/>
</file>

<file path=xl/ctrlProps/ctrlProp211.xml><?xml version="1.0" encoding="utf-8"?>
<formControlPr xmlns="http://schemas.microsoft.com/office/spreadsheetml/2009/9/main" objectType="Radio" lockText="1"/>
</file>

<file path=xl/ctrlProps/ctrlProp212.xml><?xml version="1.0" encoding="utf-8"?>
<formControlPr xmlns="http://schemas.microsoft.com/office/spreadsheetml/2009/9/main" objectType="GBox" noThreeD="1"/>
</file>

<file path=xl/ctrlProps/ctrlProp213.xml><?xml version="1.0" encoding="utf-8"?>
<formControlPr xmlns="http://schemas.microsoft.com/office/spreadsheetml/2009/9/main" objectType="Radio" firstButton="1" fmlaLink="$B$161" lockText="1"/>
</file>

<file path=xl/ctrlProps/ctrlProp214.xml><?xml version="1.0" encoding="utf-8"?>
<formControlPr xmlns="http://schemas.microsoft.com/office/spreadsheetml/2009/9/main" objectType="Radio" lockText="1"/>
</file>

<file path=xl/ctrlProps/ctrlProp215.xml><?xml version="1.0" encoding="utf-8"?>
<formControlPr xmlns="http://schemas.microsoft.com/office/spreadsheetml/2009/9/main" objectType="Radio" lockText="1"/>
</file>

<file path=xl/ctrlProps/ctrlProp216.xml><?xml version="1.0" encoding="utf-8"?>
<formControlPr xmlns="http://schemas.microsoft.com/office/spreadsheetml/2009/9/main" objectType="Radio" lockText="1"/>
</file>

<file path=xl/ctrlProps/ctrlProp217.xml><?xml version="1.0" encoding="utf-8"?>
<formControlPr xmlns="http://schemas.microsoft.com/office/spreadsheetml/2009/9/main" objectType="Radio" lockText="1"/>
</file>

<file path=xl/ctrlProps/ctrlProp218.xml><?xml version="1.0" encoding="utf-8"?>
<formControlPr xmlns="http://schemas.microsoft.com/office/spreadsheetml/2009/9/main" objectType="GBox" noThreeD="1"/>
</file>

<file path=xl/ctrlProps/ctrlProp219.xml><?xml version="1.0" encoding="utf-8"?>
<formControlPr xmlns="http://schemas.microsoft.com/office/spreadsheetml/2009/9/main" objectType="Radio" firstButton="1" fmlaLink="$B$163" lockText="1"/>
</file>

<file path=xl/ctrlProps/ctrlProp220.xml><?xml version="1.0" encoding="utf-8"?>
<formControlPr xmlns="http://schemas.microsoft.com/office/spreadsheetml/2009/9/main" objectType="Radio" lockText="1"/>
</file>

<file path=xl/ctrlProps/ctrlProp221.xml><?xml version="1.0" encoding="utf-8"?>
<formControlPr xmlns="http://schemas.microsoft.com/office/spreadsheetml/2009/9/main" objectType="Radio" lockText="1"/>
</file>

<file path=xl/ctrlProps/ctrlProp222.xml><?xml version="1.0" encoding="utf-8"?>
<formControlPr xmlns="http://schemas.microsoft.com/office/spreadsheetml/2009/9/main" objectType="Radio" lockText="1"/>
</file>

<file path=xl/ctrlProps/ctrlProp223.xml><?xml version="1.0" encoding="utf-8"?>
<formControlPr xmlns="http://schemas.microsoft.com/office/spreadsheetml/2009/9/main" objectType="Radio" lockText="1"/>
</file>

<file path=xl/ctrlProps/ctrlProp224.xml><?xml version="1.0" encoding="utf-8"?>
<formControlPr xmlns="http://schemas.microsoft.com/office/spreadsheetml/2009/9/main" objectType="GBox" noThreeD="1"/>
</file>

<file path=xl/ctrlProps/ctrlProp225.xml><?xml version="1.0" encoding="utf-8"?>
<formControlPr xmlns="http://schemas.microsoft.com/office/spreadsheetml/2009/9/main" objectType="Radio" firstButton="1" fmlaLink="$B$164" lockText="1"/>
</file>

<file path=xl/ctrlProps/ctrlProp226.xml><?xml version="1.0" encoding="utf-8"?>
<formControlPr xmlns="http://schemas.microsoft.com/office/spreadsheetml/2009/9/main" objectType="Radio" lockText="1"/>
</file>

<file path=xl/ctrlProps/ctrlProp227.xml><?xml version="1.0" encoding="utf-8"?>
<formControlPr xmlns="http://schemas.microsoft.com/office/spreadsheetml/2009/9/main" objectType="Radio" checked="Checked" lockText="1"/>
</file>

<file path=xl/ctrlProps/ctrlProp228.xml><?xml version="1.0" encoding="utf-8"?>
<formControlPr xmlns="http://schemas.microsoft.com/office/spreadsheetml/2009/9/main" objectType="Radio" lockText="1"/>
</file>

<file path=xl/ctrlProps/ctrlProp229.xml><?xml version="1.0" encoding="utf-8"?>
<formControlPr xmlns="http://schemas.microsoft.com/office/spreadsheetml/2009/9/main" objectType="Radio" lockText="1"/>
</file>

<file path=xl/ctrlProps/ctrlProp230.xml><?xml version="1.0" encoding="utf-8"?>
<formControlPr xmlns="http://schemas.microsoft.com/office/spreadsheetml/2009/9/main" objectType="GBox" noThreeD="1"/>
</file>

<file path=xl/ctrlProps/ctrlProp231.xml><?xml version="1.0" encoding="utf-8"?>
<formControlPr xmlns="http://schemas.microsoft.com/office/spreadsheetml/2009/9/main" objectType="Radio" firstButton="1" fmlaLink="$B$146" lockText="1"/>
</file>

<file path=xl/ctrlProps/ctrlProp232.xml><?xml version="1.0" encoding="utf-8"?>
<formControlPr xmlns="http://schemas.microsoft.com/office/spreadsheetml/2009/9/main" objectType="Radio" lockText="1"/>
</file>

<file path=xl/ctrlProps/ctrlProp233.xml><?xml version="1.0" encoding="utf-8"?>
<formControlPr xmlns="http://schemas.microsoft.com/office/spreadsheetml/2009/9/main" objectType="Radio" lockText="1"/>
</file>

<file path=xl/ctrlProps/ctrlProp234.xml><?xml version="1.0" encoding="utf-8"?>
<formControlPr xmlns="http://schemas.microsoft.com/office/spreadsheetml/2009/9/main" objectType="Radio" lockText="1"/>
</file>

<file path=xl/ctrlProps/ctrlProp235.xml><?xml version="1.0" encoding="utf-8"?>
<formControlPr xmlns="http://schemas.microsoft.com/office/spreadsheetml/2009/9/main" objectType="Radio" lockText="1"/>
</file>

<file path=xl/ctrlProps/ctrlProp236.xml><?xml version="1.0" encoding="utf-8"?>
<formControlPr xmlns="http://schemas.microsoft.com/office/spreadsheetml/2009/9/main" objectType="Drop" dropLines="2" dropStyle="combo" dx="16" fmlaLink="' '!$B$4" fmlaRange="' '!$Z$6:$Z$7" noThreeD="1" sel="1" val="0"/>
</file>

<file path=xl/ctrlProps/ctrlProp237.xml><?xml version="1.0" encoding="utf-8"?>
<formControlPr xmlns="http://schemas.microsoft.com/office/spreadsheetml/2009/9/main" objectType="GBox" noThreeD="1"/>
</file>

<file path=xl/ctrlProps/ctrlProp238.xml><?xml version="1.0" encoding="utf-8"?>
<formControlPr xmlns="http://schemas.microsoft.com/office/spreadsheetml/2009/9/main" objectType="GBox" noThreeD="1"/>
</file>

<file path=xl/ctrlProps/ctrlProp239.xml><?xml version="1.0" encoding="utf-8"?>
<formControlPr xmlns="http://schemas.microsoft.com/office/spreadsheetml/2009/9/main" objectType="Radio" firstButton="1" fmlaLink="$B$135" lockText="1"/>
</file>

<file path=xl/ctrlProps/ctrlProp240.xml><?xml version="1.0" encoding="utf-8"?>
<formControlPr xmlns="http://schemas.microsoft.com/office/spreadsheetml/2009/9/main" objectType="Radio" lockText="1"/>
</file>

<file path=xl/ctrlProps/ctrlProp241.xml><?xml version="1.0" encoding="utf-8"?>
<formControlPr xmlns="http://schemas.microsoft.com/office/spreadsheetml/2009/9/main" objectType="Radio" checked="Checked" lockText="1"/>
</file>

<file path=xl/ctrlProps/ctrlProp242.xml><?xml version="1.0" encoding="utf-8"?>
<formControlPr xmlns="http://schemas.microsoft.com/office/spreadsheetml/2009/9/main" objectType="Radio" lockText="1"/>
</file>

<file path=xl/ctrlProps/ctrlProp243.xml><?xml version="1.0" encoding="utf-8"?>
<formControlPr xmlns="http://schemas.microsoft.com/office/spreadsheetml/2009/9/main" objectType="Radio" lockText="1"/>
</file>

<file path=xl/ctrlProps/ctrlProp244.xml><?xml version="1.0" encoding="utf-8"?>
<formControlPr xmlns="http://schemas.microsoft.com/office/spreadsheetml/2009/9/main" objectType="GBox" noThreeD="1"/>
</file>

<file path=xl/ctrlProps/ctrlProp245.xml><?xml version="1.0" encoding="utf-8"?>
<formControlPr xmlns="http://schemas.microsoft.com/office/spreadsheetml/2009/9/main" objectType="Radio" firstButton="1" fmlaLink="$B$136" lockText="1"/>
</file>

<file path=xl/ctrlProps/ctrlProp246.xml><?xml version="1.0" encoding="utf-8"?>
<formControlPr xmlns="http://schemas.microsoft.com/office/spreadsheetml/2009/9/main" objectType="Radio" lockText="1"/>
</file>

<file path=xl/ctrlProps/ctrlProp247.xml><?xml version="1.0" encoding="utf-8"?>
<formControlPr xmlns="http://schemas.microsoft.com/office/spreadsheetml/2009/9/main" objectType="Radio" lockText="1"/>
</file>

<file path=xl/ctrlProps/ctrlProp248.xml><?xml version="1.0" encoding="utf-8"?>
<formControlPr xmlns="http://schemas.microsoft.com/office/spreadsheetml/2009/9/main" objectType="Radio" checked="Checked" lockText="1"/>
</file>

<file path=xl/ctrlProps/ctrlProp249.xml><?xml version="1.0" encoding="utf-8"?>
<formControlPr xmlns="http://schemas.microsoft.com/office/spreadsheetml/2009/9/main" objectType="Radio" lockText="1"/>
</file>

<file path=xl/ctrlProps/ctrlProp250.xml><?xml version="1.0" encoding="utf-8"?>
<formControlPr xmlns="http://schemas.microsoft.com/office/spreadsheetml/2009/9/main" objectType="GBox" noThreeD="1"/>
</file>

<file path=xl/ctrlProps/ctrlProp251.xml><?xml version="1.0" encoding="utf-8"?>
<formControlPr xmlns="http://schemas.microsoft.com/office/spreadsheetml/2009/9/main" objectType="Radio" firstButton="1" fmlaLink="$B$137" lockText="1"/>
</file>

<file path=xl/ctrlProps/ctrlProp252.xml><?xml version="1.0" encoding="utf-8"?>
<formControlPr xmlns="http://schemas.microsoft.com/office/spreadsheetml/2009/9/main" objectType="Radio" lockText="1"/>
</file>

<file path=xl/ctrlProps/ctrlProp253.xml><?xml version="1.0" encoding="utf-8"?>
<formControlPr xmlns="http://schemas.microsoft.com/office/spreadsheetml/2009/9/main" objectType="Radio" lockText="1"/>
</file>

<file path=xl/ctrlProps/ctrlProp254.xml><?xml version="1.0" encoding="utf-8"?>
<formControlPr xmlns="http://schemas.microsoft.com/office/spreadsheetml/2009/9/main" objectType="Radio" checked="Checked" lockText="1"/>
</file>

<file path=xl/ctrlProps/ctrlProp255.xml><?xml version="1.0" encoding="utf-8"?>
<formControlPr xmlns="http://schemas.microsoft.com/office/spreadsheetml/2009/9/main" objectType="Radio" lockText="1"/>
</file>

<file path=xl/ctrlProps/ctrlProp256.xml><?xml version="1.0" encoding="utf-8"?>
<formControlPr xmlns="http://schemas.microsoft.com/office/spreadsheetml/2009/9/main" objectType="GBox" noThreeD="1"/>
</file>

<file path=xl/ctrlProps/ctrlProp257.xml><?xml version="1.0" encoding="utf-8"?>
<formControlPr xmlns="http://schemas.microsoft.com/office/spreadsheetml/2009/9/main" objectType="Radio" firstButton="1" fmlaLink="$B$153" lockText="1"/>
</file>

<file path=xl/ctrlProps/ctrlProp258.xml><?xml version="1.0" encoding="utf-8"?>
<formControlPr xmlns="http://schemas.microsoft.com/office/spreadsheetml/2009/9/main" objectType="Radio" checked="Checked" lockText="1"/>
</file>

<file path=xl/ctrlProps/ctrlProp259.xml><?xml version="1.0" encoding="utf-8"?>
<formControlPr xmlns="http://schemas.microsoft.com/office/spreadsheetml/2009/9/main" objectType="Radio" lockText="1"/>
</file>

<file path=xl/ctrlProps/ctrlProp260.xml><?xml version="1.0" encoding="utf-8"?>
<formControlPr xmlns="http://schemas.microsoft.com/office/spreadsheetml/2009/9/main" objectType="Radio" lockText="1"/>
</file>

<file path=xl/ctrlProps/ctrlProp261.xml><?xml version="1.0" encoding="utf-8"?>
<formControlPr xmlns="http://schemas.microsoft.com/office/spreadsheetml/2009/9/main" objectType="Radio" lockText="1"/>
</file>

<file path=xl/ctrlProps/ctrlProp262.xml><?xml version="1.0" encoding="utf-8"?>
<formControlPr xmlns="http://schemas.microsoft.com/office/spreadsheetml/2009/9/main" objectType="GBox" noThreeD="1"/>
</file>

<file path=xl/ctrlProps/ctrlProp263.xml><?xml version="1.0" encoding="utf-8"?>
<formControlPr xmlns="http://schemas.microsoft.com/office/spreadsheetml/2009/9/main" objectType="Radio" firstButton="1" fmlaLink="$B$134" lockText="1"/>
</file>

<file path=xl/ctrlProps/ctrlProp264.xml><?xml version="1.0" encoding="utf-8"?>
<formControlPr xmlns="http://schemas.microsoft.com/office/spreadsheetml/2009/9/main" objectType="Radio" checked="Checked" lockText="1"/>
</file>

<file path=xl/ctrlProps/ctrlProp265.xml><?xml version="1.0" encoding="utf-8"?>
<formControlPr xmlns="http://schemas.microsoft.com/office/spreadsheetml/2009/9/main" objectType="Radio" lockText="1"/>
</file>

<file path=xl/ctrlProps/ctrlProp266.xml><?xml version="1.0" encoding="utf-8"?>
<formControlPr xmlns="http://schemas.microsoft.com/office/spreadsheetml/2009/9/main" objectType="Radio" lockText="1"/>
</file>

<file path=xl/ctrlProps/ctrlProp267.xml><?xml version="1.0" encoding="utf-8"?>
<formControlPr xmlns="http://schemas.microsoft.com/office/spreadsheetml/2009/9/main" objectType="Radio" lockText="1"/>
</file>

<file path=xl/ctrlProps/ctrlProp268.xml><?xml version="1.0" encoding="utf-8"?>
<formControlPr xmlns="http://schemas.microsoft.com/office/spreadsheetml/2009/9/main" objectType="GBox" noThreeD="1"/>
</file>

<file path=xl/ctrlProps/ctrlProp269.xml><?xml version="1.0" encoding="utf-8"?>
<formControlPr xmlns="http://schemas.microsoft.com/office/spreadsheetml/2009/9/main" objectType="Radio" firstButton="1" fmlaLink="$B$147" lockText="1"/>
</file>

<file path=xl/ctrlProps/ctrlProp270.xml><?xml version="1.0" encoding="utf-8"?>
<formControlPr xmlns="http://schemas.microsoft.com/office/spreadsheetml/2009/9/main" objectType="Radio" lockText="1"/>
</file>

<file path=xl/ctrlProps/ctrlProp271.xml><?xml version="1.0" encoding="utf-8"?>
<formControlPr xmlns="http://schemas.microsoft.com/office/spreadsheetml/2009/9/main" objectType="Radio" lockText="1"/>
</file>

<file path=xl/ctrlProps/ctrlProp272.xml><?xml version="1.0" encoding="utf-8"?>
<formControlPr xmlns="http://schemas.microsoft.com/office/spreadsheetml/2009/9/main" objectType="Radio" checked="Checked" lockText="1"/>
</file>

<file path=xl/ctrlProps/ctrlProp273.xml><?xml version="1.0" encoding="utf-8"?>
<formControlPr xmlns="http://schemas.microsoft.com/office/spreadsheetml/2009/9/main" objectType="Radio" lockText="1"/>
</file>

<file path=xl/ctrlProps/ctrlProp274.xml><?xml version="1.0" encoding="utf-8"?>
<formControlPr xmlns="http://schemas.microsoft.com/office/spreadsheetml/2009/9/main" objectType="GBox" noThreeD="1"/>
</file>

<file path=xl/ctrlProps/ctrlProp275.xml><?xml version="1.0" encoding="utf-8"?>
<formControlPr xmlns="http://schemas.microsoft.com/office/spreadsheetml/2009/9/main" objectType="Radio" firstButton="1" fmlaLink="$B$148" lockText="1"/>
</file>

<file path=xl/ctrlProps/ctrlProp276.xml><?xml version="1.0" encoding="utf-8"?>
<formControlPr xmlns="http://schemas.microsoft.com/office/spreadsheetml/2009/9/main" objectType="Radio" lockText="1"/>
</file>

<file path=xl/ctrlProps/ctrlProp277.xml><?xml version="1.0" encoding="utf-8"?>
<formControlPr xmlns="http://schemas.microsoft.com/office/spreadsheetml/2009/9/main" objectType="Radio" checked="Checked" lockText="1"/>
</file>

<file path=xl/ctrlProps/ctrlProp278.xml><?xml version="1.0" encoding="utf-8"?>
<formControlPr xmlns="http://schemas.microsoft.com/office/spreadsheetml/2009/9/main" objectType="Radio" lockText="1"/>
</file>

<file path=xl/ctrlProps/ctrlProp279.xml><?xml version="1.0" encoding="utf-8"?>
<formControlPr xmlns="http://schemas.microsoft.com/office/spreadsheetml/2009/9/main" objectType="Radio" lockText="1"/>
</file>

<file path=xl/ctrlProps/ctrlProp280.xml><?xml version="1.0" encoding="utf-8"?>
<formControlPr xmlns="http://schemas.microsoft.com/office/spreadsheetml/2009/9/main" objectType="GBox" noThreeD="1"/>
</file>

<file path=xl/ctrlProps/ctrlProp281.xml><?xml version="1.0" encoding="utf-8"?>
<formControlPr xmlns="http://schemas.microsoft.com/office/spreadsheetml/2009/9/main" objectType="Radio" firstButton="1" fmlaLink="$B$149" lockText="1"/>
</file>

<file path=xl/ctrlProps/ctrlProp282.xml><?xml version="1.0" encoding="utf-8"?>
<formControlPr xmlns="http://schemas.microsoft.com/office/spreadsheetml/2009/9/main" objectType="Radio" checked="Checked" lockText="1"/>
</file>

<file path=xl/ctrlProps/ctrlProp283.xml><?xml version="1.0" encoding="utf-8"?>
<formControlPr xmlns="http://schemas.microsoft.com/office/spreadsheetml/2009/9/main" objectType="Radio" lockText="1"/>
</file>

<file path=xl/ctrlProps/ctrlProp284.xml><?xml version="1.0" encoding="utf-8"?>
<formControlPr xmlns="http://schemas.microsoft.com/office/spreadsheetml/2009/9/main" objectType="Radio" lockText="1"/>
</file>

<file path=xl/ctrlProps/ctrlProp285.xml><?xml version="1.0" encoding="utf-8"?>
<formControlPr xmlns="http://schemas.microsoft.com/office/spreadsheetml/2009/9/main" objectType="Radio" lockText="1"/>
</file>

<file path=xl/ctrlProps/ctrlProp286.xml><?xml version="1.0" encoding="utf-8"?>
<formControlPr xmlns="http://schemas.microsoft.com/office/spreadsheetml/2009/9/main" objectType="GBox" noThreeD="1"/>
</file>

<file path=xl/ctrlProps/ctrlProp287.xml><?xml version="1.0" encoding="utf-8"?>
<formControlPr xmlns="http://schemas.microsoft.com/office/spreadsheetml/2009/9/main" objectType="Radio" firstButton="1" fmlaLink="$B$162" lockText="1"/>
</file>

<file path=xl/ctrlProps/ctrlProp288.xml><?xml version="1.0" encoding="utf-8"?>
<formControlPr xmlns="http://schemas.microsoft.com/office/spreadsheetml/2009/9/main" objectType="Radio" lockText="1"/>
</file>

<file path=xl/ctrlProps/ctrlProp289.xml><?xml version="1.0" encoding="utf-8"?>
<formControlPr xmlns="http://schemas.microsoft.com/office/spreadsheetml/2009/9/main" objectType="Radio" lockText="1"/>
</file>

<file path=xl/ctrlProps/ctrlProp290.xml><?xml version="1.0" encoding="utf-8"?>
<formControlPr xmlns="http://schemas.microsoft.com/office/spreadsheetml/2009/9/main" objectType="Radio" checked="Checked" lockText="1"/>
</file>

<file path=xl/ctrlProps/ctrlProp291.xml><?xml version="1.0" encoding="utf-8"?>
<formControlPr xmlns="http://schemas.microsoft.com/office/spreadsheetml/2009/9/main" objectType="Radio" lockText="1"/>
</file>

<file path=xl/ctrlProps/ctrlProp292.xml><?xml version="1.0" encoding="utf-8"?>
<formControlPr xmlns="http://schemas.microsoft.com/office/spreadsheetml/2009/9/main" objectType="GBox" noThreeD="1"/>
</file>

<file path=xl/ctrlProps/ctrlProp293.xml><?xml version="1.0" encoding="utf-8"?>
<formControlPr xmlns="http://schemas.microsoft.com/office/spreadsheetml/2009/9/main" objectType="Radio" firstButton="1" fmlaLink="$B$167" lockText="1"/>
</file>

<file path=xl/ctrlProps/ctrlProp294.xml><?xml version="1.0" encoding="utf-8"?>
<formControlPr xmlns="http://schemas.microsoft.com/office/spreadsheetml/2009/9/main" objectType="Radio" checked="Checked" lockText="1"/>
</file>

<file path=xl/ctrlProps/ctrlProp295.xml><?xml version="1.0" encoding="utf-8"?>
<formControlPr xmlns="http://schemas.microsoft.com/office/spreadsheetml/2009/9/main" objectType="Radio" lockText="1"/>
</file>

<file path=xl/ctrlProps/ctrlProp296.xml><?xml version="1.0" encoding="utf-8"?>
<formControlPr xmlns="http://schemas.microsoft.com/office/spreadsheetml/2009/9/main" objectType="Radio" lockText="1"/>
</file>

<file path=xl/ctrlProps/ctrlProp297.xml><?xml version="1.0" encoding="utf-8"?>
<formControlPr xmlns="http://schemas.microsoft.com/office/spreadsheetml/2009/9/main" objectType="Radio" lockText="1"/>
</file>

<file path=xl/ctrlProps/ctrlProp298.xml><?xml version="1.0" encoding="utf-8"?>
<formControlPr xmlns="http://schemas.microsoft.com/office/spreadsheetml/2009/9/main" objectType="GBox" noThreeD="1"/>
</file>

<file path=xl/ctrlProps/ctrlProp299.xml><?xml version="1.0" encoding="utf-8"?>
<formControlPr xmlns="http://schemas.microsoft.com/office/spreadsheetml/2009/9/main" objectType="Radio" firstButton="1" fmlaLink="$B$170" lockText="1"/>
</file>

<file path=xl/ctrlProps/ctrlProp300.xml><?xml version="1.0" encoding="utf-8"?>
<formControlPr xmlns="http://schemas.microsoft.com/office/spreadsheetml/2009/9/main" objectType="Radio" lockText="1"/>
</file>

<file path=xl/ctrlProps/ctrlProp301.xml><?xml version="1.0" encoding="utf-8"?>
<formControlPr xmlns="http://schemas.microsoft.com/office/spreadsheetml/2009/9/main" objectType="Radio" checked="Checked" lockText="1"/>
</file>

<file path=xl/ctrlProps/ctrlProp302.xml><?xml version="1.0" encoding="utf-8"?>
<formControlPr xmlns="http://schemas.microsoft.com/office/spreadsheetml/2009/9/main" objectType="Radio" lockText="1"/>
</file>

<file path=xl/ctrlProps/ctrlProp303.xml><?xml version="1.0" encoding="utf-8"?>
<formControlPr xmlns="http://schemas.microsoft.com/office/spreadsheetml/2009/9/main" objectType="Radio" lockText="1"/>
</file>

<file path=xl/ctrlProps/ctrlProp304.xml><?xml version="1.0" encoding="utf-8"?>
<formControlPr xmlns="http://schemas.microsoft.com/office/spreadsheetml/2009/9/main" objectType="GBox" noThreeD="1"/>
</file>

<file path=xl/ctrlProps/ctrlProp305.xml><?xml version="1.0" encoding="utf-8"?>
<formControlPr xmlns="http://schemas.microsoft.com/office/spreadsheetml/2009/9/main" objectType="Radio" firstButton="1" fmlaLink="$B$173" lockText="1"/>
</file>

<file path=xl/ctrlProps/ctrlProp306.xml><?xml version="1.0" encoding="utf-8"?>
<formControlPr xmlns="http://schemas.microsoft.com/office/spreadsheetml/2009/9/main" objectType="Radio" lockText="1"/>
</file>

<file path=xl/ctrlProps/ctrlProp307.xml><?xml version="1.0" encoding="utf-8"?>
<formControlPr xmlns="http://schemas.microsoft.com/office/spreadsheetml/2009/9/main" objectType="Radio" lockText="1"/>
</file>

<file path=xl/ctrlProps/ctrlProp308.xml><?xml version="1.0" encoding="utf-8"?>
<formControlPr xmlns="http://schemas.microsoft.com/office/spreadsheetml/2009/9/main" objectType="Radio" checked="Checked" lockText="1"/>
</file>

<file path=xl/ctrlProps/ctrlProp309.xml><?xml version="1.0" encoding="utf-8"?>
<formControlPr xmlns="http://schemas.microsoft.com/office/spreadsheetml/2009/9/main" objectType="Radio" lockText="1"/>
</file>

<file path=xl/ctrlProps/ctrlProp310.xml><?xml version="1.0" encoding="utf-8"?>
<formControlPr xmlns="http://schemas.microsoft.com/office/spreadsheetml/2009/9/main" objectType="GBox" noThreeD="1"/>
</file>

<file path=xl/ctrlProps/ctrlProp311.xml><?xml version="1.0" encoding="utf-8"?>
<formControlPr xmlns="http://schemas.microsoft.com/office/spreadsheetml/2009/9/main" objectType="Radio" firstButton="1" fmlaLink="$B$174" lockText="1"/>
</file>

<file path=xl/ctrlProps/ctrlProp312.xml><?xml version="1.0" encoding="utf-8"?>
<formControlPr xmlns="http://schemas.microsoft.com/office/spreadsheetml/2009/9/main" objectType="Radio" lockText="1"/>
</file>

<file path=xl/ctrlProps/ctrlProp313.xml><?xml version="1.0" encoding="utf-8"?>
<formControlPr xmlns="http://schemas.microsoft.com/office/spreadsheetml/2009/9/main" objectType="Radio" checked="Checked" lockText="1"/>
</file>

<file path=xl/ctrlProps/ctrlProp314.xml><?xml version="1.0" encoding="utf-8"?>
<formControlPr xmlns="http://schemas.microsoft.com/office/spreadsheetml/2009/9/main" objectType="Radio" lockText="1"/>
</file>

<file path=xl/ctrlProps/ctrlProp315.xml><?xml version="1.0" encoding="utf-8"?>
<formControlPr xmlns="http://schemas.microsoft.com/office/spreadsheetml/2009/9/main" objectType="Radio" lockText="1"/>
</file>

<file path=xl/ctrlProps/ctrlProp316.xml><?xml version="1.0" encoding="utf-8"?>
<formControlPr xmlns="http://schemas.microsoft.com/office/spreadsheetml/2009/9/main" objectType="GBox" noThreeD="1"/>
</file>

<file path=xl/ctrlProps/ctrlProp317.xml><?xml version="1.0" encoding="utf-8"?>
<formControlPr xmlns="http://schemas.microsoft.com/office/spreadsheetml/2009/9/main" objectType="Radio" firstButton="1" fmlaLink="$B$178" lockText="1"/>
</file>

<file path=xl/ctrlProps/ctrlProp318.xml><?xml version="1.0" encoding="utf-8"?>
<formControlPr xmlns="http://schemas.microsoft.com/office/spreadsheetml/2009/9/main" objectType="Radio" lockText="1"/>
</file>

<file path=xl/ctrlProps/ctrlProp319.xml><?xml version="1.0" encoding="utf-8"?>
<formControlPr xmlns="http://schemas.microsoft.com/office/spreadsheetml/2009/9/main" objectType="Radio" checked="Checked" lockText="1"/>
</file>

<file path=xl/ctrlProps/ctrlProp320.xml><?xml version="1.0" encoding="utf-8"?>
<formControlPr xmlns="http://schemas.microsoft.com/office/spreadsheetml/2009/9/main" objectType="Radio" lockText="1"/>
</file>

<file path=xl/ctrlProps/ctrlProp321.xml><?xml version="1.0" encoding="utf-8"?>
<formControlPr xmlns="http://schemas.microsoft.com/office/spreadsheetml/2009/9/main" objectType="Radio" lockText="1"/>
</file>

<file path=xl/ctrlProps/ctrlProp322.xml><?xml version="1.0" encoding="utf-8"?>
<formControlPr xmlns="http://schemas.microsoft.com/office/spreadsheetml/2009/9/main" objectType="GBox" noThreeD="1"/>
</file>

<file path=xl/ctrlProps/ctrlProp323.xml><?xml version="1.0" encoding="utf-8"?>
<formControlPr xmlns="http://schemas.microsoft.com/office/spreadsheetml/2009/9/main" objectType="Radio" firstButton="1" fmlaLink="$B$180" lockText="1"/>
</file>

<file path=xl/ctrlProps/ctrlProp324.xml><?xml version="1.0" encoding="utf-8"?>
<formControlPr xmlns="http://schemas.microsoft.com/office/spreadsheetml/2009/9/main" objectType="Radio" lockText="1"/>
</file>

<file path=xl/ctrlProps/ctrlProp325.xml><?xml version="1.0" encoding="utf-8"?>
<formControlPr xmlns="http://schemas.microsoft.com/office/spreadsheetml/2009/9/main" objectType="Radio" lockText="1"/>
</file>

<file path=xl/ctrlProps/ctrlProp326.xml><?xml version="1.0" encoding="utf-8"?>
<formControlPr xmlns="http://schemas.microsoft.com/office/spreadsheetml/2009/9/main" objectType="Radio" lockText="1"/>
</file>

<file path=xl/ctrlProps/ctrlProp327.xml><?xml version="1.0" encoding="utf-8"?>
<formControlPr xmlns="http://schemas.microsoft.com/office/spreadsheetml/2009/9/main" objectType="Radio" checked="Checked" lockText="1"/>
</file>

<file path=xl/ctrlProps/ctrlProp328.xml><?xml version="1.0" encoding="utf-8"?>
<formControlPr xmlns="http://schemas.microsoft.com/office/spreadsheetml/2009/9/main" objectType="GBox" noThreeD="1"/>
</file>

<file path=xl/ctrlProps/ctrlProp329.xml><?xml version="1.0" encoding="utf-8"?>
<formControlPr xmlns="http://schemas.microsoft.com/office/spreadsheetml/2009/9/main" objectType="Radio" firstButton="1" fmlaLink="$B$185" lockText="1"/>
</file>

<file path=xl/ctrlProps/ctrlProp330.xml><?xml version="1.0" encoding="utf-8"?>
<formControlPr xmlns="http://schemas.microsoft.com/office/spreadsheetml/2009/9/main" objectType="Radio" checked="Checked" lockText="1"/>
</file>

<file path=xl/ctrlProps/ctrlProp331.xml><?xml version="1.0" encoding="utf-8"?>
<formControlPr xmlns="http://schemas.microsoft.com/office/spreadsheetml/2009/9/main" objectType="Radio" lockText="1"/>
</file>

<file path=xl/ctrlProps/ctrlProp332.xml><?xml version="1.0" encoding="utf-8"?>
<formControlPr xmlns="http://schemas.microsoft.com/office/spreadsheetml/2009/9/main" objectType="Radio" lockText="1"/>
</file>

<file path=xl/ctrlProps/ctrlProp333.xml><?xml version="1.0" encoding="utf-8"?>
<formControlPr xmlns="http://schemas.microsoft.com/office/spreadsheetml/2009/9/main" objectType="Radio" lockText="1"/>
</file>

<file path=xl/ctrlProps/ctrlProp334.xml><?xml version="1.0" encoding="utf-8"?>
<formControlPr xmlns="http://schemas.microsoft.com/office/spreadsheetml/2009/9/main" objectType="GBox" noThreeD="1"/>
</file>

<file path=xl/ctrlProps/ctrlProp335.xml><?xml version="1.0" encoding="utf-8"?>
<formControlPr xmlns="http://schemas.microsoft.com/office/spreadsheetml/2009/9/main" objectType="Radio" firstButton="1" fmlaLink="$B$193" lockText="1"/>
</file>

<file path=xl/ctrlProps/ctrlProp336.xml><?xml version="1.0" encoding="utf-8"?>
<formControlPr xmlns="http://schemas.microsoft.com/office/spreadsheetml/2009/9/main" objectType="Radio" lockText="1"/>
</file>

<file path=xl/ctrlProps/ctrlProp337.xml><?xml version="1.0" encoding="utf-8"?>
<formControlPr xmlns="http://schemas.microsoft.com/office/spreadsheetml/2009/9/main" objectType="Radio" lockText="1"/>
</file>

<file path=xl/ctrlProps/ctrlProp338.xml><?xml version="1.0" encoding="utf-8"?>
<formControlPr xmlns="http://schemas.microsoft.com/office/spreadsheetml/2009/9/main" objectType="Radio" lockText="1"/>
</file>

<file path=xl/ctrlProps/ctrlProp339.xml><?xml version="1.0" encoding="utf-8"?>
<formControlPr xmlns="http://schemas.microsoft.com/office/spreadsheetml/2009/9/main" objectType="Radio" checked="Checked" lockText="1"/>
</file>

<file path=xl/ctrlProps/ctrlProp340.xml><?xml version="1.0" encoding="utf-8"?>
<formControlPr xmlns="http://schemas.microsoft.com/office/spreadsheetml/2009/9/main" objectType="GBox" noThreeD="1"/>
</file>

<file path=xl/ctrlProps/ctrlProp341.xml><?xml version="1.0" encoding="utf-8"?>
<formControlPr xmlns="http://schemas.microsoft.com/office/spreadsheetml/2009/9/main" objectType="Radio" firstButton="1" fmlaLink="$B$200" lockText="1"/>
</file>

<file path=xl/ctrlProps/ctrlProp342.xml><?xml version="1.0" encoding="utf-8"?>
<formControlPr xmlns="http://schemas.microsoft.com/office/spreadsheetml/2009/9/main" objectType="Radio" checked="Checked" lockText="1"/>
</file>

<file path=xl/ctrlProps/ctrlProp343.xml><?xml version="1.0" encoding="utf-8"?>
<formControlPr xmlns="http://schemas.microsoft.com/office/spreadsheetml/2009/9/main" objectType="Radio" lockText="1"/>
</file>

<file path=xl/ctrlProps/ctrlProp344.xml><?xml version="1.0" encoding="utf-8"?>
<formControlPr xmlns="http://schemas.microsoft.com/office/spreadsheetml/2009/9/main" objectType="Radio" lockText="1"/>
</file>

<file path=xl/ctrlProps/ctrlProp345.xml><?xml version="1.0" encoding="utf-8"?>
<formControlPr xmlns="http://schemas.microsoft.com/office/spreadsheetml/2009/9/main" objectType="Radio" lockText="1"/>
</file>

<file path=xl/ctrlProps/ctrlProp346.xml><?xml version="1.0" encoding="utf-8"?>
<formControlPr xmlns="http://schemas.microsoft.com/office/spreadsheetml/2009/9/main" objectType="GBox" noThreeD="1"/>
</file>

<file path=xl/ctrlProps/ctrlProp347.xml><?xml version="1.0" encoding="utf-8"?>
<formControlPr xmlns="http://schemas.microsoft.com/office/spreadsheetml/2009/9/main" objectType="Radio" firstButton="1" fmlaLink="$B$138" lockText="1"/>
</file>

<file path=xl/ctrlProps/ctrlProp348.xml><?xml version="1.0" encoding="utf-8"?>
<formControlPr xmlns="http://schemas.microsoft.com/office/spreadsheetml/2009/9/main" objectType="Radio" lockText="1"/>
</file>

<file path=xl/ctrlProps/ctrlProp349.xml><?xml version="1.0" encoding="utf-8"?>
<formControlPr xmlns="http://schemas.microsoft.com/office/spreadsheetml/2009/9/main" objectType="Radio" checked="Checked" lockText="1"/>
</file>

<file path=xl/ctrlProps/ctrlProp350.xml><?xml version="1.0" encoding="utf-8"?>
<formControlPr xmlns="http://schemas.microsoft.com/office/spreadsheetml/2009/9/main" objectType="Radio" lockText="1"/>
</file>

<file path=xl/ctrlProps/ctrlProp351.xml><?xml version="1.0" encoding="utf-8"?>
<formControlPr xmlns="http://schemas.microsoft.com/office/spreadsheetml/2009/9/main" objectType="Radio" lockText="1"/>
</file>

<file path=xl/ctrlProps/ctrlProp352.xml><?xml version="1.0" encoding="utf-8"?>
<formControlPr xmlns="http://schemas.microsoft.com/office/spreadsheetml/2009/9/main" objectType="GBox" noThreeD="1"/>
</file>

<file path=xl/ctrlProps/ctrlProp353.xml><?xml version="1.0" encoding="utf-8"?>
<formControlPr xmlns="http://schemas.microsoft.com/office/spreadsheetml/2009/9/main" objectType="Radio" firstButton="1" fmlaLink="$B$139" lockText="1"/>
</file>

<file path=xl/ctrlProps/ctrlProp354.xml><?xml version="1.0" encoding="utf-8"?>
<formControlPr xmlns="http://schemas.microsoft.com/office/spreadsheetml/2009/9/main" objectType="Radio" checked="Checked" lockText="1"/>
</file>

<file path=xl/ctrlProps/ctrlProp355.xml><?xml version="1.0" encoding="utf-8"?>
<formControlPr xmlns="http://schemas.microsoft.com/office/spreadsheetml/2009/9/main" objectType="Radio" lockText="1"/>
</file>

<file path=xl/ctrlProps/ctrlProp356.xml><?xml version="1.0" encoding="utf-8"?>
<formControlPr xmlns="http://schemas.microsoft.com/office/spreadsheetml/2009/9/main" objectType="Radio" lockText="1"/>
</file>

<file path=xl/ctrlProps/ctrlProp357.xml><?xml version="1.0" encoding="utf-8"?>
<formControlPr xmlns="http://schemas.microsoft.com/office/spreadsheetml/2009/9/main" objectType="Radio" lockText="1"/>
</file>

<file path=xl/ctrlProps/ctrlProp358.xml><?xml version="1.0" encoding="utf-8"?>
<formControlPr xmlns="http://schemas.microsoft.com/office/spreadsheetml/2009/9/main" objectType="GBox" noThreeD="1"/>
</file>

<file path=xl/ctrlProps/ctrlProp359.xml><?xml version="1.0" encoding="utf-8"?>
<formControlPr xmlns="http://schemas.microsoft.com/office/spreadsheetml/2009/9/main" objectType="Radio" firstButton="1" fmlaLink="$B$140" lockText="1"/>
</file>

<file path=xl/ctrlProps/ctrlProp360.xml><?xml version="1.0" encoding="utf-8"?>
<formControlPr xmlns="http://schemas.microsoft.com/office/spreadsheetml/2009/9/main" objectType="Radio" lockText="1"/>
</file>

<file path=xl/ctrlProps/ctrlProp361.xml><?xml version="1.0" encoding="utf-8"?>
<formControlPr xmlns="http://schemas.microsoft.com/office/spreadsheetml/2009/9/main" objectType="Radio" lockText="1"/>
</file>

<file path=xl/ctrlProps/ctrlProp362.xml><?xml version="1.0" encoding="utf-8"?>
<formControlPr xmlns="http://schemas.microsoft.com/office/spreadsheetml/2009/9/main" objectType="Radio" lockText="1"/>
</file>

<file path=xl/ctrlProps/ctrlProp363.xml><?xml version="1.0" encoding="utf-8"?>
<formControlPr xmlns="http://schemas.microsoft.com/office/spreadsheetml/2009/9/main" objectType="Radio" checked="Checked" lockText="1"/>
</file>

<file path=xl/ctrlProps/ctrlProp364.xml><?xml version="1.0" encoding="utf-8"?>
<formControlPr xmlns="http://schemas.microsoft.com/office/spreadsheetml/2009/9/main" objectType="GBox" noThreeD="1"/>
</file>

<file path=xl/ctrlProps/ctrlProp365.xml><?xml version="1.0" encoding="utf-8"?>
<formControlPr xmlns="http://schemas.microsoft.com/office/spreadsheetml/2009/9/main" objectType="Radio" checked="Checked" firstButton="1" fmlaLink="$B$142" lockText="1"/>
</file>

<file path=xl/ctrlProps/ctrlProp366.xml><?xml version="1.0" encoding="utf-8"?>
<formControlPr xmlns="http://schemas.microsoft.com/office/spreadsheetml/2009/9/main" objectType="Radio" lockText="1"/>
</file>

<file path=xl/ctrlProps/ctrlProp367.xml><?xml version="1.0" encoding="utf-8"?>
<formControlPr xmlns="http://schemas.microsoft.com/office/spreadsheetml/2009/9/main" objectType="Radio" lockText="1"/>
</file>

<file path=xl/ctrlProps/ctrlProp368.xml><?xml version="1.0" encoding="utf-8"?>
<formControlPr xmlns="http://schemas.microsoft.com/office/spreadsheetml/2009/9/main" objectType="Radio" lockText="1"/>
</file>

<file path=xl/ctrlProps/ctrlProp369.xml><?xml version="1.0" encoding="utf-8"?>
<formControlPr xmlns="http://schemas.microsoft.com/office/spreadsheetml/2009/9/main" objectType="Radio" lockText="1"/>
</file>

<file path=xl/ctrlProps/ctrlProp370.xml><?xml version="1.0" encoding="utf-8"?>
<formControlPr xmlns="http://schemas.microsoft.com/office/spreadsheetml/2009/9/main" objectType="GBox" noThreeD="1"/>
</file>

<file path=xl/ctrlProps/ctrlProp371.xml><?xml version="1.0" encoding="utf-8"?>
<formControlPr xmlns="http://schemas.microsoft.com/office/spreadsheetml/2009/9/main" objectType="Radio" firstButton="1" fmlaLink="$B$143" lockText="1"/>
</file>

<file path=xl/ctrlProps/ctrlProp372.xml><?xml version="1.0" encoding="utf-8"?>
<formControlPr xmlns="http://schemas.microsoft.com/office/spreadsheetml/2009/9/main" objectType="Radio" checked="Checked" lockText="1"/>
</file>

<file path=xl/ctrlProps/ctrlProp373.xml><?xml version="1.0" encoding="utf-8"?>
<formControlPr xmlns="http://schemas.microsoft.com/office/spreadsheetml/2009/9/main" objectType="Radio" lockText="1"/>
</file>

<file path=xl/ctrlProps/ctrlProp374.xml><?xml version="1.0" encoding="utf-8"?>
<formControlPr xmlns="http://schemas.microsoft.com/office/spreadsheetml/2009/9/main" objectType="Radio" lockText="1"/>
</file>

<file path=xl/ctrlProps/ctrlProp375.xml><?xml version="1.0" encoding="utf-8"?>
<formControlPr xmlns="http://schemas.microsoft.com/office/spreadsheetml/2009/9/main" objectType="Radio" lockText="1"/>
</file>

<file path=xl/ctrlProps/ctrlProp376.xml><?xml version="1.0" encoding="utf-8"?>
<formControlPr xmlns="http://schemas.microsoft.com/office/spreadsheetml/2009/9/main" objectType="GBox" noThreeD="1"/>
</file>

<file path=xl/ctrlProps/ctrlProp377.xml><?xml version="1.0" encoding="utf-8"?>
<formControlPr xmlns="http://schemas.microsoft.com/office/spreadsheetml/2009/9/main" objectType="Radio" firstButton="1" fmlaLink="$B$144" lockText="1"/>
</file>

<file path=xl/ctrlProps/ctrlProp378.xml><?xml version="1.0" encoding="utf-8"?>
<formControlPr xmlns="http://schemas.microsoft.com/office/spreadsheetml/2009/9/main" objectType="Radio" lockText="1"/>
</file>

<file path=xl/ctrlProps/ctrlProp379.xml><?xml version="1.0" encoding="utf-8"?>
<formControlPr xmlns="http://schemas.microsoft.com/office/spreadsheetml/2009/9/main" objectType="Radio" checked="Checked" lockText="1"/>
</file>

<file path=xl/ctrlProps/ctrlProp380.xml><?xml version="1.0" encoding="utf-8"?>
<formControlPr xmlns="http://schemas.microsoft.com/office/spreadsheetml/2009/9/main" objectType="Radio" lockText="1"/>
</file>

<file path=xl/ctrlProps/ctrlProp381.xml><?xml version="1.0" encoding="utf-8"?>
<formControlPr xmlns="http://schemas.microsoft.com/office/spreadsheetml/2009/9/main" objectType="Radio" lockText="1"/>
</file>

<file path=xl/ctrlProps/ctrlProp382.xml><?xml version="1.0" encoding="utf-8"?>
<formControlPr xmlns="http://schemas.microsoft.com/office/spreadsheetml/2009/9/main" objectType="GBox" noThreeD="1"/>
</file>

<file path=xl/ctrlProps/ctrlProp383.xml><?xml version="1.0" encoding="utf-8"?>
<formControlPr xmlns="http://schemas.microsoft.com/office/spreadsheetml/2009/9/main" objectType="Radio" firstButton="1" fmlaLink="$B$145" lockText="1"/>
</file>

<file path=xl/ctrlProps/ctrlProp384.xml><?xml version="1.0" encoding="utf-8"?>
<formControlPr xmlns="http://schemas.microsoft.com/office/spreadsheetml/2009/9/main" objectType="Radio" checked="Checked" lockText="1"/>
</file>

<file path=xl/ctrlProps/ctrlProp385.xml><?xml version="1.0" encoding="utf-8"?>
<formControlPr xmlns="http://schemas.microsoft.com/office/spreadsheetml/2009/9/main" objectType="Radio" lockText="1"/>
</file>

<file path=xl/ctrlProps/ctrlProp386.xml><?xml version="1.0" encoding="utf-8"?>
<formControlPr xmlns="http://schemas.microsoft.com/office/spreadsheetml/2009/9/main" objectType="Radio" lockText="1"/>
</file>

<file path=xl/ctrlProps/ctrlProp387.xml><?xml version="1.0" encoding="utf-8"?>
<formControlPr xmlns="http://schemas.microsoft.com/office/spreadsheetml/2009/9/main" objectType="Radio" lockText="1"/>
</file>

<file path=xl/ctrlProps/ctrlProp388.xml><?xml version="1.0" encoding="utf-8"?>
<formControlPr xmlns="http://schemas.microsoft.com/office/spreadsheetml/2009/9/main" objectType="GBox" noThreeD="1"/>
</file>

<file path=xl/ctrlProps/ctrlProp389.xml><?xml version="1.0" encoding="utf-8"?>
<formControlPr xmlns="http://schemas.microsoft.com/office/spreadsheetml/2009/9/main" objectType="Radio" firstButton="1" fmlaLink="$B$146" lockText="1"/>
</file>

<file path=xl/ctrlProps/ctrlProp390.xml><?xml version="1.0" encoding="utf-8"?>
<formControlPr xmlns="http://schemas.microsoft.com/office/spreadsheetml/2009/9/main" objectType="Radio" lockText="1"/>
</file>

<file path=xl/ctrlProps/ctrlProp391.xml><?xml version="1.0" encoding="utf-8"?>
<formControlPr xmlns="http://schemas.microsoft.com/office/spreadsheetml/2009/9/main" objectType="Radio" lockText="1"/>
</file>

<file path=xl/ctrlProps/ctrlProp392.xml><?xml version="1.0" encoding="utf-8"?>
<formControlPr xmlns="http://schemas.microsoft.com/office/spreadsheetml/2009/9/main" objectType="Radio" lockText="1"/>
</file>

<file path=xl/ctrlProps/ctrlProp393.xml><?xml version="1.0" encoding="utf-8"?>
<formControlPr xmlns="http://schemas.microsoft.com/office/spreadsheetml/2009/9/main" objectType="Radio" checked="Checked" lockText="1"/>
</file>

<file path=xl/ctrlProps/ctrlProp394.xml><?xml version="1.0" encoding="utf-8"?>
<formControlPr xmlns="http://schemas.microsoft.com/office/spreadsheetml/2009/9/main" objectType="GBox" noThreeD="1"/>
</file>

<file path=xl/ctrlProps/ctrlProp395.xml><?xml version="1.0" encoding="utf-8"?>
<formControlPr xmlns="http://schemas.microsoft.com/office/spreadsheetml/2009/9/main" objectType="Radio" firstButton="1" fmlaLink="$B$151" lockText="1"/>
</file>

<file path=xl/ctrlProps/ctrlProp396.xml><?xml version="1.0" encoding="utf-8"?>
<formControlPr xmlns="http://schemas.microsoft.com/office/spreadsheetml/2009/9/main" objectType="Radio" lockText="1"/>
</file>

<file path=xl/ctrlProps/ctrlProp397.xml><?xml version="1.0" encoding="utf-8"?>
<formControlPr xmlns="http://schemas.microsoft.com/office/spreadsheetml/2009/9/main" objectType="Radio" checked="Checked" lockText="1"/>
</file>

<file path=xl/ctrlProps/ctrlProp398.xml><?xml version="1.0" encoding="utf-8"?>
<formControlPr xmlns="http://schemas.microsoft.com/office/spreadsheetml/2009/9/main" objectType="Radio" lockText="1"/>
</file>

<file path=xl/ctrlProps/ctrlProp399.xml><?xml version="1.0" encoding="utf-8"?>
<formControlPr xmlns="http://schemas.microsoft.com/office/spreadsheetml/2009/9/main" objectType="Radio" lockText="1"/>
</file>

<file path=xl/ctrlProps/ctrlProp400.xml><?xml version="1.0" encoding="utf-8"?>
<formControlPr xmlns="http://schemas.microsoft.com/office/spreadsheetml/2009/9/main" objectType="GBox" noThreeD="1"/>
</file>

<file path=xl/ctrlProps/ctrlProp401.xml><?xml version="1.0" encoding="utf-8"?>
<formControlPr xmlns="http://schemas.microsoft.com/office/spreadsheetml/2009/9/main" objectType="Radio" firstButton="1" fmlaLink="$B$152" lockText="1"/>
</file>

<file path=xl/ctrlProps/ctrlProp402.xml><?xml version="1.0" encoding="utf-8"?>
<formControlPr xmlns="http://schemas.microsoft.com/office/spreadsheetml/2009/9/main" objectType="Radio" lockText="1"/>
</file>

<file path=xl/ctrlProps/ctrlProp403.xml><?xml version="1.0" encoding="utf-8"?>
<formControlPr xmlns="http://schemas.microsoft.com/office/spreadsheetml/2009/9/main" objectType="Radio" lockText="1"/>
</file>

<file path=xl/ctrlProps/ctrlProp404.xml><?xml version="1.0" encoding="utf-8"?>
<formControlPr xmlns="http://schemas.microsoft.com/office/spreadsheetml/2009/9/main" objectType="Radio" checked="Checked" lockText="1"/>
</file>

<file path=xl/ctrlProps/ctrlProp405.xml><?xml version="1.0" encoding="utf-8"?>
<formControlPr xmlns="http://schemas.microsoft.com/office/spreadsheetml/2009/9/main" objectType="Radio" lockText="1"/>
</file>

<file path=xl/ctrlProps/ctrlProp406.xml><?xml version="1.0" encoding="utf-8"?>
<formControlPr xmlns="http://schemas.microsoft.com/office/spreadsheetml/2009/9/main" objectType="GBox" noThreeD="1"/>
</file>

<file path=xl/ctrlProps/ctrlProp407.xml><?xml version="1.0" encoding="utf-8"?>
<formControlPr xmlns="http://schemas.microsoft.com/office/spreadsheetml/2009/9/main" objectType="Radio" firstButton="1" fmlaLink="$B$155" lockText="1"/>
</file>

<file path=xl/ctrlProps/ctrlProp408.xml><?xml version="1.0" encoding="utf-8"?>
<formControlPr xmlns="http://schemas.microsoft.com/office/spreadsheetml/2009/9/main" objectType="Radio" lockText="1"/>
</file>

<file path=xl/ctrlProps/ctrlProp409.xml><?xml version="1.0" encoding="utf-8"?>
<formControlPr xmlns="http://schemas.microsoft.com/office/spreadsheetml/2009/9/main" objectType="Radio" lockText="1"/>
</file>

<file path=xl/ctrlProps/ctrlProp410.xml><?xml version="1.0" encoding="utf-8"?>
<formControlPr xmlns="http://schemas.microsoft.com/office/spreadsheetml/2009/9/main" objectType="Radio" lockText="1"/>
</file>

<file path=xl/ctrlProps/ctrlProp411.xml><?xml version="1.0" encoding="utf-8"?>
<formControlPr xmlns="http://schemas.microsoft.com/office/spreadsheetml/2009/9/main" objectType="Radio" checked="Checked" lockText="1"/>
</file>

<file path=xl/ctrlProps/ctrlProp412.xml><?xml version="1.0" encoding="utf-8"?>
<formControlPr xmlns="http://schemas.microsoft.com/office/spreadsheetml/2009/9/main" objectType="GBox" noThreeD="1"/>
</file>

<file path=xl/ctrlProps/ctrlProp413.xml><?xml version="1.0" encoding="utf-8"?>
<formControlPr xmlns="http://schemas.microsoft.com/office/spreadsheetml/2009/9/main" objectType="Radio" firstButton="1" fmlaLink="$B$156" lockText="1"/>
</file>

<file path=xl/ctrlProps/ctrlProp414.xml><?xml version="1.0" encoding="utf-8"?>
<formControlPr xmlns="http://schemas.microsoft.com/office/spreadsheetml/2009/9/main" objectType="Radio" lockText="1"/>
</file>

<file path=xl/ctrlProps/ctrlProp415.xml><?xml version="1.0" encoding="utf-8"?>
<formControlPr xmlns="http://schemas.microsoft.com/office/spreadsheetml/2009/9/main" objectType="Radio" lockText="1"/>
</file>

<file path=xl/ctrlProps/ctrlProp416.xml><?xml version="1.0" encoding="utf-8"?>
<formControlPr xmlns="http://schemas.microsoft.com/office/spreadsheetml/2009/9/main" objectType="Radio" checked="Checked" lockText="1"/>
</file>

<file path=xl/ctrlProps/ctrlProp417.xml><?xml version="1.0" encoding="utf-8"?>
<formControlPr xmlns="http://schemas.microsoft.com/office/spreadsheetml/2009/9/main" objectType="Radio" lockText="1"/>
</file>

<file path=xl/ctrlProps/ctrlProp418.xml><?xml version="1.0" encoding="utf-8"?>
<formControlPr xmlns="http://schemas.microsoft.com/office/spreadsheetml/2009/9/main" objectType="GBox" noThreeD="1"/>
</file>

<file path=xl/ctrlProps/ctrlProp419.xml><?xml version="1.0" encoding="utf-8"?>
<formControlPr xmlns="http://schemas.microsoft.com/office/spreadsheetml/2009/9/main" objectType="Radio" firstButton="1" fmlaLink="$B$157" lockText="1"/>
</file>

<file path=xl/ctrlProps/ctrlProp420.xml><?xml version="1.0" encoding="utf-8"?>
<formControlPr xmlns="http://schemas.microsoft.com/office/spreadsheetml/2009/9/main" objectType="Radio" lockText="1"/>
</file>

<file path=xl/ctrlProps/ctrlProp421.xml><?xml version="1.0" encoding="utf-8"?>
<formControlPr xmlns="http://schemas.microsoft.com/office/spreadsheetml/2009/9/main" objectType="Radio" checked="Checked" lockText="1"/>
</file>

<file path=xl/ctrlProps/ctrlProp422.xml><?xml version="1.0" encoding="utf-8"?>
<formControlPr xmlns="http://schemas.microsoft.com/office/spreadsheetml/2009/9/main" objectType="Radio" lockText="1"/>
</file>

<file path=xl/ctrlProps/ctrlProp423.xml><?xml version="1.0" encoding="utf-8"?>
<formControlPr xmlns="http://schemas.microsoft.com/office/spreadsheetml/2009/9/main" objectType="Radio" lockText="1"/>
</file>

<file path=xl/ctrlProps/ctrlProp424.xml><?xml version="1.0" encoding="utf-8"?>
<formControlPr xmlns="http://schemas.microsoft.com/office/spreadsheetml/2009/9/main" objectType="GBox" noThreeD="1"/>
</file>

<file path=xl/ctrlProps/ctrlProp425.xml><?xml version="1.0" encoding="utf-8"?>
<formControlPr xmlns="http://schemas.microsoft.com/office/spreadsheetml/2009/9/main" objectType="Radio" firstButton="1" fmlaLink="$B$158" lockText="1"/>
</file>

<file path=xl/ctrlProps/ctrlProp426.xml><?xml version="1.0" encoding="utf-8"?>
<formControlPr xmlns="http://schemas.microsoft.com/office/spreadsheetml/2009/9/main" objectType="Radio" checked="Checked" lockText="1"/>
</file>

<file path=xl/ctrlProps/ctrlProp427.xml><?xml version="1.0" encoding="utf-8"?>
<formControlPr xmlns="http://schemas.microsoft.com/office/spreadsheetml/2009/9/main" objectType="Radio" lockText="1"/>
</file>

<file path=xl/ctrlProps/ctrlProp428.xml><?xml version="1.0" encoding="utf-8"?>
<formControlPr xmlns="http://schemas.microsoft.com/office/spreadsheetml/2009/9/main" objectType="Radio" lockText="1"/>
</file>

<file path=xl/ctrlProps/ctrlProp429.xml><?xml version="1.0" encoding="utf-8"?>
<formControlPr xmlns="http://schemas.microsoft.com/office/spreadsheetml/2009/9/main" objectType="Radio" lockText="1"/>
</file>

<file path=xl/ctrlProps/ctrlProp430.xml><?xml version="1.0" encoding="utf-8"?>
<formControlPr xmlns="http://schemas.microsoft.com/office/spreadsheetml/2009/9/main" objectType="GBox" noThreeD="1"/>
</file>

<file path=xl/ctrlProps/ctrlProp431.xml><?xml version="1.0" encoding="utf-8"?>
<formControlPr xmlns="http://schemas.microsoft.com/office/spreadsheetml/2009/9/main" objectType="Radio" checked="Checked" firstButton="1" fmlaLink="$B$159" lockText="1"/>
</file>

<file path=xl/ctrlProps/ctrlProp432.xml><?xml version="1.0" encoding="utf-8"?>
<formControlPr xmlns="http://schemas.microsoft.com/office/spreadsheetml/2009/9/main" objectType="Radio" lockText="1"/>
</file>

<file path=xl/ctrlProps/ctrlProp433.xml><?xml version="1.0" encoding="utf-8"?>
<formControlPr xmlns="http://schemas.microsoft.com/office/spreadsheetml/2009/9/main" objectType="Radio" lockText="1"/>
</file>

<file path=xl/ctrlProps/ctrlProp434.xml><?xml version="1.0" encoding="utf-8"?>
<formControlPr xmlns="http://schemas.microsoft.com/office/spreadsheetml/2009/9/main" objectType="Radio" lockText="1"/>
</file>

<file path=xl/ctrlProps/ctrlProp435.xml><?xml version="1.0" encoding="utf-8"?>
<formControlPr xmlns="http://schemas.microsoft.com/office/spreadsheetml/2009/9/main" objectType="Radio" lockText="1"/>
</file>

<file path=xl/ctrlProps/ctrlProp436.xml><?xml version="1.0" encoding="utf-8"?>
<formControlPr xmlns="http://schemas.microsoft.com/office/spreadsheetml/2009/9/main" objectType="GBox" noThreeD="1"/>
</file>

<file path=xl/ctrlProps/ctrlProp437.xml><?xml version="1.0" encoding="utf-8"?>
<formControlPr xmlns="http://schemas.microsoft.com/office/spreadsheetml/2009/9/main" objectType="Radio" firstButton="1" fmlaLink="$B$160" lockText="1"/>
</file>

<file path=xl/ctrlProps/ctrlProp438.xml><?xml version="1.0" encoding="utf-8"?>
<formControlPr xmlns="http://schemas.microsoft.com/office/spreadsheetml/2009/9/main" objectType="Radio" checked="Checked" lockText="1"/>
</file>

<file path=xl/ctrlProps/ctrlProp439.xml><?xml version="1.0" encoding="utf-8"?>
<formControlPr xmlns="http://schemas.microsoft.com/office/spreadsheetml/2009/9/main" objectType="Radio" lockText="1"/>
</file>

<file path=xl/ctrlProps/ctrlProp440.xml><?xml version="1.0" encoding="utf-8"?>
<formControlPr xmlns="http://schemas.microsoft.com/office/spreadsheetml/2009/9/main" objectType="Radio" lockText="1"/>
</file>

<file path=xl/ctrlProps/ctrlProp441.xml><?xml version="1.0" encoding="utf-8"?>
<formControlPr xmlns="http://schemas.microsoft.com/office/spreadsheetml/2009/9/main" objectType="Radio" lockText="1"/>
</file>

<file path=xl/ctrlProps/ctrlProp442.xml><?xml version="1.0" encoding="utf-8"?>
<formControlPr xmlns="http://schemas.microsoft.com/office/spreadsheetml/2009/9/main" objectType="GBox" noThreeD="1"/>
</file>

<file path=xl/ctrlProps/ctrlProp443.xml><?xml version="1.0" encoding="utf-8"?>
<formControlPr xmlns="http://schemas.microsoft.com/office/spreadsheetml/2009/9/main" objectType="Radio" firstButton="1" fmlaLink="$B$161" lockText="1"/>
</file>

<file path=xl/ctrlProps/ctrlProp444.xml><?xml version="1.0" encoding="utf-8"?>
<formControlPr xmlns="http://schemas.microsoft.com/office/spreadsheetml/2009/9/main" objectType="Radio" lockText="1"/>
</file>

<file path=xl/ctrlProps/ctrlProp445.xml><?xml version="1.0" encoding="utf-8"?>
<formControlPr xmlns="http://schemas.microsoft.com/office/spreadsheetml/2009/9/main" objectType="Radio" checked="Checked" lockText="1"/>
</file>

<file path=xl/ctrlProps/ctrlProp446.xml><?xml version="1.0" encoding="utf-8"?>
<formControlPr xmlns="http://schemas.microsoft.com/office/spreadsheetml/2009/9/main" objectType="Radio" lockText="1"/>
</file>

<file path=xl/ctrlProps/ctrlProp447.xml><?xml version="1.0" encoding="utf-8"?>
<formControlPr xmlns="http://schemas.microsoft.com/office/spreadsheetml/2009/9/main" objectType="Radio" lockText="1"/>
</file>

<file path=xl/ctrlProps/ctrlProp448.xml><?xml version="1.0" encoding="utf-8"?>
<formControlPr xmlns="http://schemas.microsoft.com/office/spreadsheetml/2009/9/main" objectType="GBox" noThreeD="1"/>
</file>

<file path=xl/ctrlProps/ctrlProp449.xml><?xml version="1.0" encoding="utf-8"?>
<formControlPr xmlns="http://schemas.microsoft.com/office/spreadsheetml/2009/9/main" objectType="Radio" firstButton="1" fmlaLink="$B$164" lockText="1"/>
</file>

<file path=xl/ctrlProps/ctrlProp450.xml><?xml version="1.0" encoding="utf-8"?>
<formControlPr xmlns="http://schemas.microsoft.com/office/spreadsheetml/2009/9/main" objectType="Radio" lockText="1"/>
</file>

<file path=xl/ctrlProps/ctrlProp451.xml><?xml version="1.0" encoding="utf-8"?>
<formControlPr xmlns="http://schemas.microsoft.com/office/spreadsheetml/2009/9/main" objectType="Radio" lockText="1"/>
</file>

<file path=xl/ctrlProps/ctrlProp452.xml><?xml version="1.0" encoding="utf-8"?>
<formControlPr xmlns="http://schemas.microsoft.com/office/spreadsheetml/2009/9/main" objectType="Radio" lockText="1"/>
</file>

<file path=xl/ctrlProps/ctrlProp453.xml><?xml version="1.0" encoding="utf-8"?>
<formControlPr xmlns="http://schemas.microsoft.com/office/spreadsheetml/2009/9/main" objectType="Radio" checked="Checked" lockText="1"/>
</file>

<file path=xl/ctrlProps/ctrlProp454.xml><?xml version="1.0" encoding="utf-8"?>
<formControlPr xmlns="http://schemas.microsoft.com/office/spreadsheetml/2009/9/main" objectType="GBox" noThreeD="1"/>
</file>

<file path=xl/ctrlProps/ctrlProp455.xml><?xml version="1.0" encoding="utf-8"?>
<formControlPr xmlns="http://schemas.microsoft.com/office/spreadsheetml/2009/9/main" objectType="Radio" firstButton="1" fmlaLink="$B$165" lockText="1"/>
</file>

<file path=xl/ctrlProps/ctrlProp456.xml><?xml version="1.0" encoding="utf-8"?>
<formControlPr xmlns="http://schemas.microsoft.com/office/spreadsheetml/2009/9/main" objectType="Radio" lockText="1"/>
</file>

<file path=xl/ctrlProps/ctrlProp457.xml><?xml version="1.0" encoding="utf-8"?>
<formControlPr xmlns="http://schemas.microsoft.com/office/spreadsheetml/2009/9/main" objectType="Radio" lockText="1"/>
</file>

<file path=xl/ctrlProps/ctrlProp458.xml><?xml version="1.0" encoding="utf-8"?>
<formControlPr xmlns="http://schemas.microsoft.com/office/spreadsheetml/2009/9/main" objectType="Radio" checked="Checked" lockText="1"/>
</file>

<file path=xl/ctrlProps/ctrlProp459.xml><?xml version="1.0" encoding="utf-8"?>
<formControlPr xmlns="http://schemas.microsoft.com/office/spreadsheetml/2009/9/main" objectType="Radio" lockText="1"/>
</file>

<file path=xl/ctrlProps/ctrlProp460.xml><?xml version="1.0" encoding="utf-8"?>
<formControlPr xmlns="http://schemas.microsoft.com/office/spreadsheetml/2009/9/main" objectType="GBox" noThreeD="1"/>
</file>

<file path=xl/ctrlProps/ctrlProp461.xml><?xml version="1.0" encoding="utf-8"?>
<formControlPr xmlns="http://schemas.microsoft.com/office/spreadsheetml/2009/9/main" objectType="Radio" firstButton="1" fmlaLink="$B$166" lockText="1"/>
</file>

<file path=xl/ctrlProps/ctrlProp462.xml><?xml version="1.0" encoding="utf-8"?>
<formControlPr xmlns="http://schemas.microsoft.com/office/spreadsheetml/2009/9/main" objectType="Radio" lockText="1"/>
</file>

<file path=xl/ctrlProps/ctrlProp463.xml><?xml version="1.0" encoding="utf-8"?>
<formControlPr xmlns="http://schemas.microsoft.com/office/spreadsheetml/2009/9/main" objectType="Radio" checked="Checked" lockText="1"/>
</file>

<file path=xl/ctrlProps/ctrlProp464.xml><?xml version="1.0" encoding="utf-8"?>
<formControlPr xmlns="http://schemas.microsoft.com/office/spreadsheetml/2009/9/main" objectType="Radio" lockText="1"/>
</file>

<file path=xl/ctrlProps/ctrlProp465.xml><?xml version="1.0" encoding="utf-8"?>
<formControlPr xmlns="http://schemas.microsoft.com/office/spreadsheetml/2009/9/main" objectType="Radio" lockText="1"/>
</file>

<file path=xl/ctrlProps/ctrlProp466.xml><?xml version="1.0" encoding="utf-8"?>
<formControlPr xmlns="http://schemas.microsoft.com/office/spreadsheetml/2009/9/main" objectType="GBox" noThreeD="1"/>
</file>

<file path=xl/ctrlProps/ctrlProp467.xml><?xml version="1.0" encoding="utf-8"?>
<formControlPr xmlns="http://schemas.microsoft.com/office/spreadsheetml/2009/9/main" objectType="Radio" checked="Checked" firstButton="1" fmlaLink="$B$168" lockText="1"/>
</file>

<file path=xl/ctrlProps/ctrlProp468.xml><?xml version="1.0" encoding="utf-8"?>
<formControlPr xmlns="http://schemas.microsoft.com/office/spreadsheetml/2009/9/main" objectType="Radio" lockText="1"/>
</file>

<file path=xl/ctrlProps/ctrlProp469.xml><?xml version="1.0" encoding="utf-8"?>
<formControlPr xmlns="http://schemas.microsoft.com/office/spreadsheetml/2009/9/main" objectType="Radio" lockText="1"/>
</file>

<file path=xl/ctrlProps/ctrlProp470.xml><?xml version="1.0" encoding="utf-8"?>
<formControlPr xmlns="http://schemas.microsoft.com/office/spreadsheetml/2009/9/main" objectType="Radio" lockText="1"/>
</file>

<file path=xl/ctrlProps/ctrlProp471.xml><?xml version="1.0" encoding="utf-8"?>
<formControlPr xmlns="http://schemas.microsoft.com/office/spreadsheetml/2009/9/main" objectType="Radio" lockText="1"/>
</file>

<file path=xl/ctrlProps/ctrlProp472.xml><?xml version="1.0" encoding="utf-8"?>
<formControlPr xmlns="http://schemas.microsoft.com/office/spreadsheetml/2009/9/main" objectType="GBox" noThreeD="1"/>
</file>

<file path=xl/ctrlProps/ctrlProp473.xml><?xml version="1.0" encoding="utf-8"?>
<formControlPr xmlns="http://schemas.microsoft.com/office/spreadsheetml/2009/9/main" objectType="Radio" firstButton="1" fmlaLink="$B$169" lockText="1"/>
</file>

<file path=xl/ctrlProps/ctrlProp474.xml><?xml version="1.0" encoding="utf-8"?>
<formControlPr xmlns="http://schemas.microsoft.com/office/spreadsheetml/2009/9/main" objectType="Radio" checked="Checked" lockText="1"/>
</file>

<file path=xl/ctrlProps/ctrlProp475.xml><?xml version="1.0" encoding="utf-8"?>
<formControlPr xmlns="http://schemas.microsoft.com/office/spreadsheetml/2009/9/main" objectType="Radio" lockText="1"/>
</file>

<file path=xl/ctrlProps/ctrlProp476.xml><?xml version="1.0" encoding="utf-8"?>
<formControlPr xmlns="http://schemas.microsoft.com/office/spreadsheetml/2009/9/main" objectType="Radio" lockText="1"/>
</file>

<file path=xl/ctrlProps/ctrlProp477.xml><?xml version="1.0" encoding="utf-8"?>
<formControlPr xmlns="http://schemas.microsoft.com/office/spreadsheetml/2009/9/main" objectType="Radio" lockText="1"/>
</file>

<file path=xl/ctrlProps/ctrlProp478.xml><?xml version="1.0" encoding="utf-8"?>
<formControlPr xmlns="http://schemas.microsoft.com/office/spreadsheetml/2009/9/main" objectType="GBox" noThreeD="1"/>
</file>

<file path=xl/ctrlProps/ctrlProp479.xml><?xml version="1.0" encoding="utf-8"?>
<formControlPr xmlns="http://schemas.microsoft.com/office/spreadsheetml/2009/9/main" objectType="Radio" firstButton="1" fmlaLink="$B$172" lockText="1"/>
</file>

<file path=xl/ctrlProps/ctrlProp480.xml><?xml version="1.0" encoding="utf-8"?>
<formControlPr xmlns="http://schemas.microsoft.com/office/spreadsheetml/2009/9/main" objectType="Radio" lockText="1"/>
</file>

<file path=xl/ctrlProps/ctrlProp481.xml><?xml version="1.0" encoding="utf-8"?>
<formControlPr xmlns="http://schemas.microsoft.com/office/spreadsheetml/2009/9/main" objectType="Radio" lockText="1"/>
</file>

<file path=xl/ctrlProps/ctrlProp482.xml><?xml version="1.0" encoding="utf-8"?>
<formControlPr xmlns="http://schemas.microsoft.com/office/spreadsheetml/2009/9/main" objectType="Radio" lockText="1"/>
</file>

<file path=xl/ctrlProps/ctrlProp483.xml><?xml version="1.0" encoding="utf-8"?>
<formControlPr xmlns="http://schemas.microsoft.com/office/spreadsheetml/2009/9/main" objectType="Radio" checked="Checked" lockText="1"/>
</file>

<file path=xl/ctrlProps/ctrlProp484.xml><?xml version="1.0" encoding="utf-8"?>
<formControlPr xmlns="http://schemas.microsoft.com/office/spreadsheetml/2009/9/main" objectType="GBox" noThreeD="1"/>
</file>

<file path=xl/ctrlProps/ctrlProp485.xml><?xml version="1.0" encoding="utf-8"?>
<formControlPr xmlns="http://schemas.microsoft.com/office/spreadsheetml/2009/9/main" objectType="Radio" firstButton="1" fmlaLink="$B$175" lockText="1"/>
</file>

<file path=xl/ctrlProps/ctrlProp486.xml><?xml version="1.0" encoding="utf-8"?>
<formControlPr xmlns="http://schemas.microsoft.com/office/spreadsheetml/2009/9/main" objectType="Radio" checked="Checked" lockText="1"/>
</file>

<file path=xl/ctrlProps/ctrlProp487.xml><?xml version="1.0" encoding="utf-8"?>
<formControlPr xmlns="http://schemas.microsoft.com/office/spreadsheetml/2009/9/main" objectType="Radio" lockText="1"/>
</file>

<file path=xl/ctrlProps/ctrlProp488.xml><?xml version="1.0" encoding="utf-8"?>
<formControlPr xmlns="http://schemas.microsoft.com/office/spreadsheetml/2009/9/main" objectType="Radio" lockText="1"/>
</file>

<file path=xl/ctrlProps/ctrlProp489.xml><?xml version="1.0" encoding="utf-8"?>
<formControlPr xmlns="http://schemas.microsoft.com/office/spreadsheetml/2009/9/main" objectType="Radio" lockText="1"/>
</file>

<file path=xl/ctrlProps/ctrlProp490.xml><?xml version="1.0" encoding="utf-8"?>
<formControlPr xmlns="http://schemas.microsoft.com/office/spreadsheetml/2009/9/main" objectType="GBox" noThreeD="1"/>
</file>

<file path=xl/ctrlProps/ctrlProp491.xml><?xml version="1.0" encoding="utf-8"?>
<formControlPr xmlns="http://schemas.microsoft.com/office/spreadsheetml/2009/9/main" objectType="Radio" checked="Checked" firstButton="1" fmlaLink="$B$176" lockText="1"/>
</file>

<file path=xl/ctrlProps/ctrlProp492.xml><?xml version="1.0" encoding="utf-8"?>
<formControlPr xmlns="http://schemas.microsoft.com/office/spreadsheetml/2009/9/main" objectType="Radio" lockText="1"/>
</file>

<file path=xl/ctrlProps/ctrlProp493.xml><?xml version="1.0" encoding="utf-8"?>
<formControlPr xmlns="http://schemas.microsoft.com/office/spreadsheetml/2009/9/main" objectType="Radio" lockText="1"/>
</file>

<file path=xl/ctrlProps/ctrlProp494.xml><?xml version="1.0" encoding="utf-8"?>
<formControlPr xmlns="http://schemas.microsoft.com/office/spreadsheetml/2009/9/main" objectType="Radio" lockText="1"/>
</file>

<file path=xl/ctrlProps/ctrlProp495.xml><?xml version="1.0" encoding="utf-8"?>
<formControlPr xmlns="http://schemas.microsoft.com/office/spreadsheetml/2009/9/main" objectType="Radio" lockText="1"/>
</file>

<file path=xl/ctrlProps/ctrlProp496.xml><?xml version="1.0" encoding="utf-8"?>
<formControlPr xmlns="http://schemas.microsoft.com/office/spreadsheetml/2009/9/main" objectType="GBox" noThreeD="1"/>
</file>

<file path=xl/ctrlProps/ctrlProp497.xml><?xml version="1.0" encoding="utf-8"?>
<formControlPr xmlns="http://schemas.microsoft.com/office/spreadsheetml/2009/9/main" objectType="Radio" firstButton="1" fmlaLink="$B$177" lockText="1"/>
</file>

<file path=xl/ctrlProps/ctrlProp498.xml><?xml version="1.0" encoding="utf-8"?>
<formControlPr xmlns="http://schemas.microsoft.com/office/spreadsheetml/2009/9/main" objectType="Radio" checked="Checked" lockText="1"/>
</file>

<file path=xl/ctrlProps/ctrlProp499.xml><?xml version="1.0" encoding="utf-8"?>
<formControlPr xmlns="http://schemas.microsoft.com/office/spreadsheetml/2009/9/main" objectType="Radio" lockText="1"/>
</file>

<file path=xl/ctrlProps/ctrlProp500.xml><?xml version="1.0" encoding="utf-8"?>
<formControlPr xmlns="http://schemas.microsoft.com/office/spreadsheetml/2009/9/main" objectType="Radio" lockText="1"/>
</file>

<file path=xl/ctrlProps/ctrlProp501.xml><?xml version="1.0" encoding="utf-8"?>
<formControlPr xmlns="http://schemas.microsoft.com/office/spreadsheetml/2009/9/main" objectType="Radio" lockText="1"/>
</file>

<file path=xl/ctrlProps/ctrlProp502.xml><?xml version="1.0" encoding="utf-8"?>
<formControlPr xmlns="http://schemas.microsoft.com/office/spreadsheetml/2009/9/main" objectType="GBox" noThreeD="1"/>
</file>

<file path=xl/ctrlProps/ctrlProp503.xml><?xml version="1.0" encoding="utf-8"?>
<formControlPr xmlns="http://schemas.microsoft.com/office/spreadsheetml/2009/9/main" objectType="Radio" firstButton="1" fmlaLink="$B$181" lockText="1"/>
</file>

<file path=xl/ctrlProps/ctrlProp504.xml><?xml version="1.0" encoding="utf-8"?>
<formControlPr xmlns="http://schemas.microsoft.com/office/spreadsheetml/2009/9/main" objectType="Radio" lockText="1"/>
</file>

<file path=xl/ctrlProps/ctrlProp505.xml><?xml version="1.0" encoding="utf-8"?>
<formControlPr xmlns="http://schemas.microsoft.com/office/spreadsheetml/2009/9/main" objectType="Radio" lockText="1"/>
</file>

<file path=xl/ctrlProps/ctrlProp506.xml><?xml version="1.0" encoding="utf-8"?>
<formControlPr xmlns="http://schemas.microsoft.com/office/spreadsheetml/2009/9/main" objectType="Radio" checked="Checked" lockText="1"/>
</file>

<file path=xl/ctrlProps/ctrlProp507.xml><?xml version="1.0" encoding="utf-8"?>
<formControlPr xmlns="http://schemas.microsoft.com/office/spreadsheetml/2009/9/main" objectType="Radio" lockText="1"/>
</file>

<file path=xl/ctrlProps/ctrlProp508.xml><?xml version="1.0" encoding="utf-8"?>
<formControlPr xmlns="http://schemas.microsoft.com/office/spreadsheetml/2009/9/main" objectType="GBox" noThreeD="1"/>
</file>

<file path=xl/ctrlProps/ctrlProp509.xml><?xml version="1.0" encoding="utf-8"?>
<formControlPr xmlns="http://schemas.microsoft.com/office/spreadsheetml/2009/9/main" objectType="Radio" firstButton="1" fmlaLink="$B$182" lockText="1"/>
</file>

<file path=xl/ctrlProps/ctrlProp510.xml><?xml version="1.0" encoding="utf-8"?>
<formControlPr xmlns="http://schemas.microsoft.com/office/spreadsheetml/2009/9/main" objectType="Radio" lockText="1"/>
</file>

<file path=xl/ctrlProps/ctrlProp511.xml><?xml version="1.0" encoding="utf-8"?>
<formControlPr xmlns="http://schemas.microsoft.com/office/spreadsheetml/2009/9/main" objectType="Radio" checked="Checked" lockText="1"/>
</file>

<file path=xl/ctrlProps/ctrlProp512.xml><?xml version="1.0" encoding="utf-8"?>
<formControlPr xmlns="http://schemas.microsoft.com/office/spreadsheetml/2009/9/main" objectType="Radio" lockText="1"/>
</file>

<file path=xl/ctrlProps/ctrlProp513.xml><?xml version="1.0" encoding="utf-8"?>
<formControlPr xmlns="http://schemas.microsoft.com/office/spreadsheetml/2009/9/main" objectType="Radio" lockText="1"/>
</file>

<file path=xl/ctrlProps/ctrlProp514.xml><?xml version="1.0" encoding="utf-8"?>
<formControlPr xmlns="http://schemas.microsoft.com/office/spreadsheetml/2009/9/main" objectType="GBox" noThreeD="1"/>
</file>

<file path=xl/ctrlProps/ctrlProp515.xml><?xml version="1.0" encoding="utf-8"?>
<formControlPr xmlns="http://schemas.microsoft.com/office/spreadsheetml/2009/9/main" objectType="Radio" firstButton="1" fmlaLink="$B$183" lockText="1"/>
</file>

<file path=xl/ctrlProps/ctrlProp516.xml><?xml version="1.0" encoding="utf-8"?>
<formControlPr xmlns="http://schemas.microsoft.com/office/spreadsheetml/2009/9/main" objectType="Radio" checked="Checked" lockText="1"/>
</file>

<file path=xl/ctrlProps/ctrlProp517.xml><?xml version="1.0" encoding="utf-8"?>
<formControlPr xmlns="http://schemas.microsoft.com/office/spreadsheetml/2009/9/main" objectType="Radio" lockText="1"/>
</file>

<file path=xl/ctrlProps/ctrlProp518.xml><?xml version="1.0" encoding="utf-8"?>
<formControlPr xmlns="http://schemas.microsoft.com/office/spreadsheetml/2009/9/main" objectType="Radio" lockText="1"/>
</file>

<file path=xl/ctrlProps/ctrlProp519.xml><?xml version="1.0" encoding="utf-8"?>
<formControlPr xmlns="http://schemas.microsoft.com/office/spreadsheetml/2009/9/main" objectType="Radio" lockText="1"/>
</file>

<file path=xl/ctrlProps/ctrlProp520.xml><?xml version="1.0" encoding="utf-8"?>
<formControlPr xmlns="http://schemas.microsoft.com/office/spreadsheetml/2009/9/main" objectType="GBox" noThreeD="1"/>
</file>

<file path=xl/ctrlProps/ctrlProp521.xml><?xml version="1.0" encoding="utf-8"?>
<formControlPr xmlns="http://schemas.microsoft.com/office/spreadsheetml/2009/9/main" objectType="Radio" checked="Checked" firstButton="1" fmlaLink="$B$184" lockText="1"/>
</file>

<file path=xl/ctrlProps/ctrlProp522.xml><?xml version="1.0" encoding="utf-8"?>
<formControlPr xmlns="http://schemas.microsoft.com/office/spreadsheetml/2009/9/main" objectType="Radio" lockText="1"/>
</file>

<file path=xl/ctrlProps/ctrlProp523.xml><?xml version="1.0" encoding="utf-8"?>
<formControlPr xmlns="http://schemas.microsoft.com/office/spreadsheetml/2009/9/main" objectType="Radio" lockText="1"/>
</file>

<file path=xl/ctrlProps/ctrlProp524.xml><?xml version="1.0" encoding="utf-8"?>
<formControlPr xmlns="http://schemas.microsoft.com/office/spreadsheetml/2009/9/main" objectType="Radio" lockText="1"/>
</file>

<file path=xl/ctrlProps/ctrlProp525.xml><?xml version="1.0" encoding="utf-8"?>
<formControlPr xmlns="http://schemas.microsoft.com/office/spreadsheetml/2009/9/main" objectType="Radio" lockText="1"/>
</file>

<file path=xl/ctrlProps/ctrlProp526.xml><?xml version="1.0" encoding="utf-8"?>
<formControlPr xmlns="http://schemas.microsoft.com/office/spreadsheetml/2009/9/main" objectType="GBox" noThreeD="1"/>
</file>

<file path=xl/ctrlProps/ctrlProp527.xml><?xml version="1.0" encoding="utf-8"?>
<formControlPr xmlns="http://schemas.microsoft.com/office/spreadsheetml/2009/9/main" objectType="Radio" firstButton="1" fmlaLink="$B$187" lockText="1"/>
</file>

<file path=xl/ctrlProps/ctrlProp528.xml><?xml version="1.0" encoding="utf-8"?>
<formControlPr xmlns="http://schemas.microsoft.com/office/spreadsheetml/2009/9/main" objectType="Radio" lockText="1"/>
</file>

<file path=xl/ctrlProps/ctrlProp529.xml><?xml version="1.0" encoding="utf-8"?>
<formControlPr xmlns="http://schemas.microsoft.com/office/spreadsheetml/2009/9/main" objectType="Radio" lockText="1"/>
</file>

<file path=xl/ctrlProps/ctrlProp530.xml><?xml version="1.0" encoding="utf-8"?>
<formControlPr xmlns="http://schemas.microsoft.com/office/spreadsheetml/2009/9/main" objectType="Radio" lockText="1"/>
</file>

<file path=xl/ctrlProps/ctrlProp531.xml><?xml version="1.0" encoding="utf-8"?>
<formControlPr xmlns="http://schemas.microsoft.com/office/spreadsheetml/2009/9/main" objectType="Radio" checked="Checked" lockText="1"/>
</file>

<file path=xl/ctrlProps/ctrlProp532.xml><?xml version="1.0" encoding="utf-8"?>
<formControlPr xmlns="http://schemas.microsoft.com/office/spreadsheetml/2009/9/main" objectType="GBox" noThreeD="1"/>
</file>

<file path=xl/ctrlProps/ctrlProp533.xml><?xml version="1.0" encoding="utf-8"?>
<formControlPr xmlns="http://schemas.microsoft.com/office/spreadsheetml/2009/9/main" objectType="Radio" firstButton="1" fmlaLink="$B$188" lockText="1"/>
</file>

<file path=xl/ctrlProps/ctrlProp534.xml><?xml version="1.0" encoding="utf-8"?>
<formControlPr xmlns="http://schemas.microsoft.com/office/spreadsheetml/2009/9/main" objectType="Radio" lockText="1"/>
</file>

<file path=xl/ctrlProps/ctrlProp535.xml><?xml version="1.0" encoding="utf-8"?>
<formControlPr xmlns="http://schemas.microsoft.com/office/spreadsheetml/2009/9/main" objectType="Radio" checked="Checked" lockText="1"/>
</file>

<file path=xl/ctrlProps/ctrlProp536.xml><?xml version="1.0" encoding="utf-8"?>
<formControlPr xmlns="http://schemas.microsoft.com/office/spreadsheetml/2009/9/main" objectType="Radio" lockText="1"/>
</file>

<file path=xl/ctrlProps/ctrlProp537.xml><?xml version="1.0" encoding="utf-8"?>
<formControlPr xmlns="http://schemas.microsoft.com/office/spreadsheetml/2009/9/main" objectType="Radio" lockText="1"/>
</file>

<file path=xl/ctrlProps/ctrlProp538.xml><?xml version="1.0" encoding="utf-8"?>
<formControlPr xmlns="http://schemas.microsoft.com/office/spreadsheetml/2009/9/main" objectType="GBox" noThreeD="1"/>
</file>

<file path=xl/ctrlProps/ctrlProp539.xml><?xml version="1.0" encoding="utf-8"?>
<formControlPr xmlns="http://schemas.microsoft.com/office/spreadsheetml/2009/9/main" objectType="Radio" firstButton="1" fmlaLink="$B$189" lockText="1"/>
</file>

<file path=xl/ctrlProps/ctrlProp540.xml><?xml version="1.0" encoding="utf-8"?>
<formControlPr xmlns="http://schemas.microsoft.com/office/spreadsheetml/2009/9/main" objectType="Radio" checked="Checked" lockText="1"/>
</file>

<file path=xl/ctrlProps/ctrlProp541.xml><?xml version="1.0" encoding="utf-8"?>
<formControlPr xmlns="http://schemas.microsoft.com/office/spreadsheetml/2009/9/main" objectType="Radio" lockText="1"/>
</file>

<file path=xl/ctrlProps/ctrlProp542.xml><?xml version="1.0" encoding="utf-8"?>
<formControlPr xmlns="http://schemas.microsoft.com/office/spreadsheetml/2009/9/main" objectType="Radio" lockText="1"/>
</file>

<file path=xl/ctrlProps/ctrlProp543.xml><?xml version="1.0" encoding="utf-8"?>
<formControlPr xmlns="http://schemas.microsoft.com/office/spreadsheetml/2009/9/main" objectType="Radio" lockText="1"/>
</file>

<file path=xl/ctrlProps/ctrlProp544.xml><?xml version="1.0" encoding="utf-8"?>
<formControlPr xmlns="http://schemas.microsoft.com/office/spreadsheetml/2009/9/main" objectType="GBox" noThreeD="1"/>
</file>

<file path=xl/ctrlProps/ctrlProp545.xml><?xml version="1.0" encoding="utf-8"?>
<formControlPr xmlns="http://schemas.microsoft.com/office/spreadsheetml/2009/9/main" objectType="Radio" firstButton="1" fmlaLink="$B$190" lockText="1"/>
</file>

<file path=xl/ctrlProps/ctrlProp546.xml><?xml version="1.0" encoding="utf-8"?>
<formControlPr xmlns="http://schemas.microsoft.com/office/spreadsheetml/2009/9/main" objectType="Radio" lockText="1"/>
</file>

<file path=xl/ctrlProps/ctrlProp547.xml><?xml version="1.0" encoding="utf-8"?>
<formControlPr xmlns="http://schemas.microsoft.com/office/spreadsheetml/2009/9/main" objectType="Radio" checked="Checked" lockText="1"/>
</file>

<file path=xl/ctrlProps/ctrlProp548.xml><?xml version="1.0" encoding="utf-8"?>
<formControlPr xmlns="http://schemas.microsoft.com/office/spreadsheetml/2009/9/main" objectType="Radio" lockText="1"/>
</file>

<file path=xl/ctrlProps/ctrlProp549.xml><?xml version="1.0" encoding="utf-8"?>
<formControlPr xmlns="http://schemas.microsoft.com/office/spreadsheetml/2009/9/main" objectType="Radio" lockText="1"/>
</file>

<file path=xl/ctrlProps/ctrlProp550.xml><?xml version="1.0" encoding="utf-8"?>
<formControlPr xmlns="http://schemas.microsoft.com/office/spreadsheetml/2009/9/main" objectType="GBox" noThreeD="1"/>
</file>

<file path=xl/ctrlProps/ctrlProp551.xml><?xml version="1.0" encoding="utf-8"?>
<formControlPr xmlns="http://schemas.microsoft.com/office/spreadsheetml/2009/9/main" objectType="Radio" firstButton="1" fmlaLink="$B$191" lockText="1"/>
</file>

<file path=xl/ctrlProps/ctrlProp552.xml><?xml version="1.0" encoding="utf-8"?>
<formControlPr xmlns="http://schemas.microsoft.com/office/spreadsheetml/2009/9/main" objectType="Radio" checked="Checked" lockText="1"/>
</file>

<file path=xl/ctrlProps/ctrlProp553.xml><?xml version="1.0" encoding="utf-8"?>
<formControlPr xmlns="http://schemas.microsoft.com/office/spreadsheetml/2009/9/main" objectType="Radio" lockText="1"/>
</file>

<file path=xl/ctrlProps/ctrlProp554.xml><?xml version="1.0" encoding="utf-8"?>
<formControlPr xmlns="http://schemas.microsoft.com/office/spreadsheetml/2009/9/main" objectType="Radio" lockText="1"/>
</file>

<file path=xl/ctrlProps/ctrlProp555.xml><?xml version="1.0" encoding="utf-8"?>
<formControlPr xmlns="http://schemas.microsoft.com/office/spreadsheetml/2009/9/main" objectType="Radio" lockText="1"/>
</file>

<file path=xl/ctrlProps/ctrlProp556.xml><?xml version="1.0" encoding="utf-8"?>
<formControlPr xmlns="http://schemas.microsoft.com/office/spreadsheetml/2009/9/main" objectType="GBox" noThreeD="1"/>
</file>

<file path=xl/ctrlProps/ctrlProp557.xml><?xml version="1.0" encoding="utf-8"?>
<formControlPr xmlns="http://schemas.microsoft.com/office/spreadsheetml/2009/9/main" objectType="Radio" firstButton="1" fmlaLink="$B$194" lockText="1"/>
</file>

<file path=xl/ctrlProps/ctrlProp558.xml><?xml version="1.0" encoding="utf-8"?>
<formControlPr xmlns="http://schemas.microsoft.com/office/spreadsheetml/2009/9/main" objectType="Radio" lockText="1"/>
</file>

<file path=xl/ctrlProps/ctrlProp559.xml><?xml version="1.0" encoding="utf-8"?>
<formControlPr xmlns="http://schemas.microsoft.com/office/spreadsheetml/2009/9/main" objectType="Radio" checked="Checked" lockText="1"/>
</file>

<file path=xl/ctrlProps/ctrlProp560.xml><?xml version="1.0" encoding="utf-8"?>
<formControlPr xmlns="http://schemas.microsoft.com/office/spreadsheetml/2009/9/main" objectType="Radio" lockText="1"/>
</file>

<file path=xl/ctrlProps/ctrlProp561.xml><?xml version="1.0" encoding="utf-8"?>
<formControlPr xmlns="http://schemas.microsoft.com/office/spreadsheetml/2009/9/main" objectType="Radio" lockText="1"/>
</file>

<file path=xl/ctrlProps/ctrlProp562.xml><?xml version="1.0" encoding="utf-8"?>
<formControlPr xmlns="http://schemas.microsoft.com/office/spreadsheetml/2009/9/main" objectType="GBox" noThreeD="1"/>
</file>

<file path=xl/ctrlProps/ctrlProp563.xml><?xml version="1.0" encoding="utf-8"?>
<formControlPr xmlns="http://schemas.microsoft.com/office/spreadsheetml/2009/9/main" objectType="Radio" firstButton="1" fmlaLink="$B$195" lockText="1"/>
</file>

<file path=xl/ctrlProps/ctrlProp564.xml><?xml version="1.0" encoding="utf-8"?>
<formControlPr xmlns="http://schemas.microsoft.com/office/spreadsheetml/2009/9/main" objectType="Radio" lockText="1"/>
</file>

<file path=xl/ctrlProps/ctrlProp565.xml><?xml version="1.0" encoding="utf-8"?>
<formControlPr xmlns="http://schemas.microsoft.com/office/spreadsheetml/2009/9/main" objectType="Radio" lockText="1"/>
</file>

<file path=xl/ctrlProps/ctrlProp566.xml><?xml version="1.0" encoding="utf-8"?>
<formControlPr xmlns="http://schemas.microsoft.com/office/spreadsheetml/2009/9/main" objectType="Radio" lockText="1"/>
</file>

<file path=xl/ctrlProps/ctrlProp567.xml><?xml version="1.0" encoding="utf-8"?>
<formControlPr xmlns="http://schemas.microsoft.com/office/spreadsheetml/2009/9/main" objectType="Radio" checked="Checked" lockText="1"/>
</file>

<file path=xl/ctrlProps/ctrlProp568.xml><?xml version="1.0" encoding="utf-8"?>
<formControlPr xmlns="http://schemas.microsoft.com/office/spreadsheetml/2009/9/main" objectType="GBox" noThreeD="1"/>
</file>

<file path=xl/ctrlProps/ctrlProp569.xml><?xml version="1.0" encoding="utf-8"?>
<formControlPr xmlns="http://schemas.microsoft.com/office/spreadsheetml/2009/9/main" objectType="Radio" firstButton="1" fmlaLink="$B$196" lockText="1"/>
</file>

<file path=xl/ctrlProps/ctrlProp570.xml><?xml version="1.0" encoding="utf-8"?>
<formControlPr xmlns="http://schemas.microsoft.com/office/spreadsheetml/2009/9/main" objectType="Radio" lockText="1"/>
</file>

<file path=xl/ctrlProps/ctrlProp571.xml><?xml version="1.0" encoding="utf-8"?>
<formControlPr xmlns="http://schemas.microsoft.com/office/spreadsheetml/2009/9/main" objectType="Radio" lockText="1"/>
</file>

<file path=xl/ctrlProps/ctrlProp572.xml><?xml version="1.0" encoding="utf-8"?>
<formControlPr xmlns="http://schemas.microsoft.com/office/spreadsheetml/2009/9/main" objectType="Radio" checked="Checked" lockText="1"/>
</file>

<file path=xl/ctrlProps/ctrlProp573.xml><?xml version="1.0" encoding="utf-8"?>
<formControlPr xmlns="http://schemas.microsoft.com/office/spreadsheetml/2009/9/main" objectType="Radio" lockText="1"/>
</file>

<file path=xl/ctrlProps/ctrlProp574.xml><?xml version="1.0" encoding="utf-8"?>
<formControlPr xmlns="http://schemas.microsoft.com/office/spreadsheetml/2009/9/main" objectType="GBox" noThreeD="1"/>
</file>

<file path=xl/ctrlProps/ctrlProp575.xml><?xml version="1.0" encoding="utf-8"?>
<formControlPr xmlns="http://schemas.microsoft.com/office/spreadsheetml/2009/9/main" objectType="Radio" firstButton="1" fmlaLink="$B$197" lockText="1"/>
</file>

<file path=xl/ctrlProps/ctrlProp576.xml><?xml version="1.0" encoding="utf-8"?>
<formControlPr xmlns="http://schemas.microsoft.com/office/spreadsheetml/2009/9/main" objectType="Radio" lockText="1"/>
</file>

<file path=xl/ctrlProps/ctrlProp577.xml><?xml version="1.0" encoding="utf-8"?>
<formControlPr xmlns="http://schemas.microsoft.com/office/spreadsheetml/2009/9/main" objectType="Radio" lockText="1"/>
</file>

<file path=xl/ctrlProps/ctrlProp578.xml><?xml version="1.0" encoding="utf-8"?>
<formControlPr xmlns="http://schemas.microsoft.com/office/spreadsheetml/2009/9/main" objectType="Radio" lockText="1"/>
</file>

<file path=xl/ctrlProps/ctrlProp579.xml><?xml version="1.0" encoding="utf-8"?>
<formControlPr xmlns="http://schemas.microsoft.com/office/spreadsheetml/2009/9/main" objectType="Radio" checked="Checked" lockText="1"/>
</file>

<file path=xl/ctrlProps/ctrlProp580.xml><?xml version="1.0" encoding="utf-8"?>
<formControlPr xmlns="http://schemas.microsoft.com/office/spreadsheetml/2009/9/main" objectType="GBox" noThreeD="1"/>
</file>

<file path=xl/ctrlProps/ctrlProp581.xml><?xml version="1.0" encoding="utf-8"?>
<formControlPr xmlns="http://schemas.microsoft.com/office/spreadsheetml/2009/9/main" objectType="Radio" firstButton="1" fmlaLink="$B$198" lockText="1"/>
</file>

<file path=xl/ctrlProps/ctrlProp582.xml><?xml version="1.0" encoding="utf-8"?>
<formControlPr xmlns="http://schemas.microsoft.com/office/spreadsheetml/2009/9/main" objectType="Radio" lockText="1"/>
</file>

<file path=xl/ctrlProps/ctrlProp583.xml><?xml version="1.0" encoding="utf-8"?>
<formControlPr xmlns="http://schemas.microsoft.com/office/spreadsheetml/2009/9/main" objectType="Radio" lockText="1"/>
</file>

<file path=xl/ctrlProps/ctrlProp584.xml><?xml version="1.0" encoding="utf-8"?>
<formControlPr xmlns="http://schemas.microsoft.com/office/spreadsheetml/2009/9/main" objectType="Radio" checked="Checked" lockText="1"/>
</file>

<file path=xl/ctrlProps/ctrlProp585.xml><?xml version="1.0" encoding="utf-8"?>
<formControlPr xmlns="http://schemas.microsoft.com/office/spreadsheetml/2009/9/main" objectType="Radio" lockText="1"/>
</file>

<file path=xl/ctrlProps/ctrlProp586.xml><?xml version="1.0" encoding="utf-8"?>
<formControlPr xmlns="http://schemas.microsoft.com/office/spreadsheetml/2009/9/main" objectType="GBox" noThreeD="1"/>
</file>

<file path=xl/ctrlProps/ctrlProp587.xml><?xml version="1.0" encoding="utf-8"?>
<formControlPr xmlns="http://schemas.microsoft.com/office/spreadsheetml/2009/9/main" objectType="Radio" firstButton="1" fmlaLink="$B$199" lockText="1"/>
</file>

<file path=xl/ctrlProps/ctrlProp588.xml><?xml version="1.0" encoding="utf-8"?>
<formControlPr xmlns="http://schemas.microsoft.com/office/spreadsheetml/2009/9/main" objectType="Radio" lockText="1"/>
</file>

<file path=xl/ctrlProps/ctrlProp589.xml><?xml version="1.0" encoding="utf-8"?>
<formControlPr xmlns="http://schemas.microsoft.com/office/spreadsheetml/2009/9/main" objectType="Radio" lockText="1"/>
</file>

<file path=xl/ctrlProps/ctrlProp590.xml><?xml version="1.0" encoding="utf-8"?>
<formControlPr xmlns="http://schemas.microsoft.com/office/spreadsheetml/2009/9/main" objectType="Radio" lockText="1"/>
</file>

<file path=xl/ctrlProps/ctrlProp591.xml><?xml version="1.0" encoding="utf-8"?>
<formControlPr xmlns="http://schemas.microsoft.com/office/spreadsheetml/2009/9/main" objectType="Radio" checked="Checked" lockText="1"/>
</file>

<file path=xl/ctrlProps/ctrlProp592.xml><?xml version="1.0" encoding="utf-8"?>
<formControlPr xmlns="http://schemas.microsoft.com/office/spreadsheetml/2009/9/main" objectType="Drop" dropLines="2" dropStyle="combo" dx="16" fmlaLink="' '!$B$4" fmlaRange="' '!$Z$6:$Z$7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Leadership!A1"/><Relationship Id="rId13" Type="http://schemas.openxmlformats.org/officeDocument/2006/relationships/hyperlink" Target="#Kernkompetenzen!C6"/><Relationship Id="rId18" Type="http://schemas.openxmlformats.org/officeDocument/2006/relationships/image" Target="../media/image1.emf"/><Relationship Id="rId3" Type="http://schemas.openxmlformats.org/officeDocument/2006/relationships/hyperlink" Target="#Dringlichkeit!A1"/><Relationship Id="rId7" Type="http://schemas.openxmlformats.org/officeDocument/2006/relationships/hyperlink" Target="#Cockpit!A1"/><Relationship Id="rId12" Type="http://schemas.openxmlformats.org/officeDocument/2006/relationships/hyperlink" Target="#Prozesse!C5"/><Relationship Id="rId17" Type="http://schemas.openxmlformats.org/officeDocument/2006/relationships/hyperlink" Target="#Logo!D6"/><Relationship Id="rId2" Type="http://schemas.openxmlformats.org/officeDocument/2006/relationships/hyperlink" Target="#Stakeholder!C5"/><Relationship Id="rId16" Type="http://schemas.openxmlformats.org/officeDocument/2006/relationships/hyperlink" Target="#Lewin!A1"/><Relationship Id="rId1" Type="http://schemas.openxmlformats.org/officeDocument/2006/relationships/hyperlink" Target="http://www.2imanagement.ch/?id=57&amp;helpdesk&amp;topic=118" TargetMode="External"/><Relationship Id="rId6" Type="http://schemas.openxmlformats.org/officeDocument/2006/relationships/hyperlink" Target="#Massnahmen!A1"/><Relationship Id="rId11" Type="http://schemas.openxmlformats.org/officeDocument/2006/relationships/hyperlink" Target="#Systeme!A1"/><Relationship Id="rId5" Type="http://schemas.openxmlformats.org/officeDocument/2006/relationships/hyperlink" Target="#Canvas!A1"/><Relationship Id="rId15" Type="http://schemas.openxmlformats.org/officeDocument/2006/relationships/hyperlink" Target="#Kommunikation!A2"/><Relationship Id="rId10" Type="http://schemas.openxmlformats.org/officeDocument/2006/relationships/hyperlink" Target="#Struktur!C5"/><Relationship Id="rId4" Type="http://schemas.openxmlformats.org/officeDocument/2006/relationships/hyperlink" Target="#'2Strategie'!A1"/><Relationship Id="rId9" Type="http://schemas.openxmlformats.org/officeDocument/2006/relationships/hyperlink" Target="#Fuehrung!A1"/><Relationship Id="rId14" Type="http://schemas.openxmlformats.org/officeDocument/2006/relationships/hyperlink" Target="#Personal!C5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Fehler!A1"/><Relationship Id="rId3" Type="http://schemas.openxmlformats.org/officeDocument/2006/relationships/hyperlink" Target="http://www.2imanagement.ch/?id=57&amp;helpdesk&amp;topic=118" TargetMode="External"/><Relationship Id="rId7" Type="http://schemas.openxmlformats.org/officeDocument/2006/relationships/hyperlink" Target="#Reklamationen!A1"/><Relationship Id="rId2" Type="http://schemas.openxmlformats.org/officeDocument/2006/relationships/image" Target="../media/image3.png"/><Relationship Id="rId1" Type="http://schemas.openxmlformats.org/officeDocument/2006/relationships/hyperlink" Target="#MenuChange!A1"/><Relationship Id="rId6" Type="http://schemas.openxmlformats.org/officeDocument/2006/relationships/hyperlink" Target="#Risikomgmt!A1"/><Relationship Id="rId5" Type="http://schemas.openxmlformats.org/officeDocument/2006/relationships/hyperlink" Target="#Benchmark!A1"/><Relationship Id="rId4" Type="http://schemas.openxmlformats.org/officeDocument/2006/relationships/hyperlink" Target="#'Swot-Analyse'!A1"/><Relationship Id="rId9" Type="http://schemas.openxmlformats.org/officeDocument/2006/relationships/hyperlink" Target="#Trends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Graph_Risk"/><Relationship Id="rId7" Type="http://schemas.openxmlformats.org/officeDocument/2006/relationships/image" Target="../media/image1.emf"/><Relationship Id="rId2" Type="http://schemas.openxmlformats.org/officeDocument/2006/relationships/hyperlink" Target="#Risikomgmt!C5"/><Relationship Id="rId1" Type="http://schemas.openxmlformats.org/officeDocument/2006/relationships/hyperlink" Target="http://www.2imanagement.ch/?id=57&amp;helpdesk&amp;topic=118" TargetMode="External"/><Relationship Id="rId6" Type="http://schemas.openxmlformats.org/officeDocument/2006/relationships/chart" Target="../charts/chart1.xml"/><Relationship Id="rId5" Type="http://schemas.openxmlformats.org/officeDocument/2006/relationships/hyperlink" Target="#Dringlichkeit!A1"/><Relationship Id="rId4" Type="http://schemas.openxmlformats.org/officeDocument/2006/relationships/image" Target="../media/image4.gi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118" TargetMode="External"/><Relationship Id="rId2" Type="http://schemas.openxmlformats.org/officeDocument/2006/relationships/chart" Target="../charts/chart2.xml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hyperlink" Target="#Dringlichkeit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ringlichkeit!A1"/><Relationship Id="rId7" Type="http://schemas.openxmlformats.org/officeDocument/2006/relationships/image" Target="../media/image1.emf"/><Relationship Id="rId2" Type="http://schemas.openxmlformats.org/officeDocument/2006/relationships/hyperlink" Target="http://www.2imanagement.ch/?id=57&amp;helpdesk&amp;topic=118" TargetMode="External"/><Relationship Id="rId1" Type="http://schemas.openxmlformats.org/officeDocument/2006/relationships/chart" Target="../charts/chart3.xml"/><Relationship Id="rId6" Type="http://schemas.openxmlformats.org/officeDocument/2006/relationships/hyperlink" Target="#Reklamationen!C5"/><Relationship Id="rId5" Type="http://schemas.openxmlformats.org/officeDocument/2006/relationships/image" Target="../media/image4.gif"/><Relationship Id="rId4" Type="http://schemas.openxmlformats.org/officeDocument/2006/relationships/hyperlink" Target="#Reklamationen!A57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ringlichkeit!A1"/><Relationship Id="rId7" Type="http://schemas.openxmlformats.org/officeDocument/2006/relationships/image" Target="../media/image1.emf"/><Relationship Id="rId2" Type="http://schemas.openxmlformats.org/officeDocument/2006/relationships/hyperlink" Target="http://www.2imanagement.ch/?id=57&amp;helpdesk&amp;topic=118" TargetMode="External"/><Relationship Id="rId1" Type="http://schemas.openxmlformats.org/officeDocument/2006/relationships/chart" Target="../charts/chart4.xml"/><Relationship Id="rId6" Type="http://schemas.openxmlformats.org/officeDocument/2006/relationships/hyperlink" Target="#Fehler!C5"/><Relationship Id="rId5" Type="http://schemas.openxmlformats.org/officeDocument/2006/relationships/image" Target="../media/image4.gif"/><Relationship Id="rId4" Type="http://schemas.openxmlformats.org/officeDocument/2006/relationships/hyperlink" Target="#Fehler!A57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118" TargetMode="External"/><Relationship Id="rId7" Type="http://schemas.openxmlformats.org/officeDocument/2006/relationships/image" Target="../media/image1.emf"/><Relationship Id="rId2" Type="http://schemas.openxmlformats.org/officeDocument/2006/relationships/image" Target="../media/image4.gif"/><Relationship Id="rId1" Type="http://schemas.openxmlformats.org/officeDocument/2006/relationships/hyperlink" Target="#Eisenhower!A50"/><Relationship Id="rId6" Type="http://schemas.openxmlformats.org/officeDocument/2006/relationships/chart" Target="../charts/chart5.xml"/><Relationship Id="rId5" Type="http://schemas.openxmlformats.org/officeDocument/2006/relationships/hyperlink" Target="#Leadership!A1"/><Relationship Id="rId4" Type="http://schemas.openxmlformats.org/officeDocument/2006/relationships/hyperlink" Target="#Eisenhower!C5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chart" Target="../charts/chart6.xml"/><Relationship Id="rId7" Type="http://schemas.openxmlformats.org/officeDocument/2006/relationships/hyperlink" Target="#Dringlichkeit!A1"/><Relationship Id="rId2" Type="http://schemas.openxmlformats.org/officeDocument/2006/relationships/hyperlink" Target="#top_swot"/><Relationship Id="rId1" Type="http://schemas.openxmlformats.org/officeDocument/2006/relationships/hyperlink" Target="http://www.2imanagement.ch/?id=57&amp;helpdesk&amp;topic=118" TargetMode="External"/><Relationship Id="rId6" Type="http://schemas.openxmlformats.org/officeDocument/2006/relationships/image" Target="../media/image8.emf"/><Relationship Id="rId5" Type="http://schemas.openxmlformats.org/officeDocument/2006/relationships/chart" Target="../charts/chart7.xml"/><Relationship Id="rId4" Type="http://schemas.openxmlformats.org/officeDocument/2006/relationships/image" Target="../media/image7.emf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top"/><Relationship Id="rId3" Type="http://schemas.openxmlformats.org/officeDocument/2006/relationships/hyperlink" Target="#Trends!C54"/><Relationship Id="rId7" Type="http://schemas.openxmlformats.org/officeDocument/2006/relationships/hyperlink" Target="#Trends!C26"/><Relationship Id="rId12" Type="http://schemas.openxmlformats.org/officeDocument/2006/relationships/image" Target="../media/image1.emf"/><Relationship Id="rId2" Type="http://schemas.openxmlformats.org/officeDocument/2006/relationships/hyperlink" Target="#Trends!C40"/><Relationship Id="rId1" Type="http://schemas.openxmlformats.org/officeDocument/2006/relationships/chart" Target="../charts/chart8.xml"/><Relationship Id="rId6" Type="http://schemas.openxmlformats.org/officeDocument/2006/relationships/hyperlink" Target="#Trends!C96"/><Relationship Id="rId11" Type="http://schemas.openxmlformats.org/officeDocument/2006/relationships/hyperlink" Target="#Consumer_Trend!A1"/><Relationship Id="rId5" Type="http://schemas.openxmlformats.org/officeDocument/2006/relationships/hyperlink" Target="#Trends!C82"/><Relationship Id="rId10" Type="http://schemas.openxmlformats.org/officeDocument/2006/relationships/hyperlink" Target="#Dringlichkeit!A1"/><Relationship Id="rId4" Type="http://schemas.openxmlformats.org/officeDocument/2006/relationships/hyperlink" Target="#Trends!C68"/><Relationship Id="rId9" Type="http://schemas.openxmlformats.org/officeDocument/2006/relationships/hyperlink" Target="http://www.2imanagement.ch/?id=57&amp;helpdesk&amp;topic=118" TargetMode="Externa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Trends!A1"/><Relationship Id="rId2" Type="http://schemas.openxmlformats.org/officeDocument/2006/relationships/hyperlink" Target="http://www.2imanagement.ch/?id=57&amp;helpdesk&amp;topic=118" TargetMode="External"/><Relationship Id="rId1" Type="http://schemas.openxmlformats.org/officeDocument/2006/relationships/hyperlink" Target="http://www.trendwatching.com/trends/consumertrendcanvas/" TargetMode="External"/><Relationship Id="rId4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HRM!A1"/><Relationship Id="rId7" Type="http://schemas.openxmlformats.org/officeDocument/2006/relationships/image" Target="../media/image1.emf"/><Relationship Id="rId2" Type="http://schemas.openxmlformats.org/officeDocument/2006/relationships/hyperlink" Target="002_Cockpit.xlsm" TargetMode="External"/><Relationship Id="rId1" Type="http://schemas.openxmlformats.org/officeDocument/2006/relationships/hyperlink" Target="#Leadership!A1"/><Relationship Id="rId6" Type="http://schemas.openxmlformats.org/officeDocument/2006/relationships/hyperlink" Target="http://www.2imanagement.ch/?id=57&amp;helpdesk&amp;topic=118" TargetMode="External"/><Relationship Id="rId5" Type="http://schemas.openxmlformats.org/officeDocument/2006/relationships/image" Target="../media/image3.png"/><Relationship Id="rId4" Type="http://schemas.openxmlformats.org/officeDocument/2006/relationships/hyperlink" Target="#MenuChang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2imanagement.ch/?id=57&amp;helpdesk&amp;topic=118" TargetMode="External"/><Relationship Id="rId7" Type="http://schemas.openxmlformats.org/officeDocument/2006/relationships/chart" Target="../charts/chart9.xml"/><Relationship Id="rId2" Type="http://schemas.openxmlformats.org/officeDocument/2006/relationships/image" Target="../media/image4.gif"/><Relationship Id="rId1" Type="http://schemas.openxmlformats.org/officeDocument/2006/relationships/hyperlink" Target="#graph_stakeholder"/><Relationship Id="rId6" Type="http://schemas.openxmlformats.org/officeDocument/2006/relationships/image" Target="../media/image3.png"/><Relationship Id="rId5" Type="http://schemas.openxmlformats.org/officeDocument/2006/relationships/hyperlink" Target="#MenuChange!A1"/><Relationship Id="rId4" Type="http://schemas.openxmlformats.org/officeDocument/2006/relationships/hyperlink" Target="#Stakeholder!C5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#Struktur!A57"/><Relationship Id="rId7" Type="http://schemas.openxmlformats.org/officeDocument/2006/relationships/image" Target="../media/image3.png"/><Relationship Id="rId2" Type="http://schemas.openxmlformats.org/officeDocument/2006/relationships/hyperlink" Target="http://www.2imanagement.ch/?id=57&amp;helpdesk&amp;topic=118" TargetMode="External"/><Relationship Id="rId1" Type="http://schemas.openxmlformats.org/officeDocument/2006/relationships/chart" Target="../charts/chart10.xml"/><Relationship Id="rId6" Type="http://schemas.openxmlformats.org/officeDocument/2006/relationships/hyperlink" Target="#MenuChange!A1"/><Relationship Id="rId5" Type="http://schemas.openxmlformats.org/officeDocument/2006/relationships/hyperlink" Target="#Struktur!C5"/><Relationship Id="rId4" Type="http://schemas.openxmlformats.org/officeDocument/2006/relationships/image" Target="../media/image4.gif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#Systeme!A57"/><Relationship Id="rId7" Type="http://schemas.openxmlformats.org/officeDocument/2006/relationships/image" Target="../media/image3.png"/><Relationship Id="rId2" Type="http://schemas.openxmlformats.org/officeDocument/2006/relationships/hyperlink" Target="http://www.2imanagement.ch/?id=57&amp;helpdesk&amp;topic=118" TargetMode="External"/><Relationship Id="rId1" Type="http://schemas.openxmlformats.org/officeDocument/2006/relationships/chart" Target="../charts/chart11.xml"/><Relationship Id="rId6" Type="http://schemas.openxmlformats.org/officeDocument/2006/relationships/hyperlink" Target="#MenuChange!A1"/><Relationship Id="rId5" Type="http://schemas.openxmlformats.org/officeDocument/2006/relationships/hyperlink" Target="#Systeme!C5"/><Relationship Id="rId4" Type="http://schemas.openxmlformats.org/officeDocument/2006/relationships/image" Target="../media/image4.gif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Chances!top_chances"/><Relationship Id="rId3" Type="http://schemas.openxmlformats.org/officeDocument/2006/relationships/hyperlink" Target="http://www.businessmodelgeneration.com/canvas" TargetMode="External"/><Relationship Id="rId7" Type="http://schemas.openxmlformats.org/officeDocument/2006/relationships/hyperlink" Target="#top_forces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hyperlink" Target="http://www.2imanagement.ch/?id=57&amp;helpdesk&amp;topic=118" TargetMode="External"/><Relationship Id="rId11" Type="http://schemas.openxmlformats.org/officeDocument/2006/relationships/image" Target="../media/image1.emf"/><Relationship Id="rId5" Type="http://schemas.openxmlformats.org/officeDocument/2006/relationships/image" Target="../media/image14.png"/><Relationship Id="rId10" Type="http://schemas.openxmlformats.org/officeDocument/2006/relationships/image" Target="../media/image15.png"/><Relationship Id="rId4" Type="http://schemas.openxmlformats.org/officeDocument/2006/relationships/image" Target="../media/image13.png"/><Relationship Id="rId9" Type="http://schemas.openxmlformats.org/officeDocument/2006/relationships/hyperlink" Target="#MenuChange!A1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png"/><Relationship Id="rId13" Type="http://schemas.openxmlformats.org/officeDocument/2006/relationships/chart" Target="../charts/chart12.xml"/><Relationship Id="rId18" Type="http://schemas.openxmlformats.org/officeDocument/2006/relationships/chart" Target="../charts/chart15.xml"/><Relationship Id="rId26" Type="http://schemas.openxmlformats.org/officeDocument/2006/relationships/image" Target="../media/image1.emf"/><Relationship Id="rId3" Type="http://schemas.openxmlformats.org/officeDocument/2006/relationships/image" Target="../media/image17.png"/><Relationship Id="rId21" Type="http://schemas.openxmlformats.org/officeDocument/2006/relationships/chart" Target="../charts/chart18.xml"/><Relationship Id="rId7" Type="http://schemas.openxmlformats.org/officeDocument/2006/relationships/image" Target="../media/image21.png"/><Relationship Id="rId12" Type="http://schemas.openxmlformats.org/officeDocument/2006/relationships/hyperlink" Target="#Canvas!C6"/><Relationship Id="rId17" Type="http://schemas.openxmlformats.org/officeDocument/2006/relationships/chart" Target="../charts/chart14.xml"/><Relationship Id="rId25" Type="http://schemas.openxmlformats.org/officeDocument/2006/relationships/chart" Target="../charts/chart22.xml"/><Relationship Id="rId2" Type="http://schemas.openxmlformats.org/officeDocument/2006/relationships/image" Target="../media/image16.png"/><Relationship Id="rId16" Type="http://schemas.openxmlformats.org/officeDocument/2006/relationships/chart" Target="../charts/chart13.xml"/><Relationship Id="rId20" Type="http://schemas.openxmlformats.org/officeDocument/2006/relationships/chart" Target="../charts/chart17.xml"/><Relationship Id="rId1" Type="http://schemas.openxmlformats.org/officeDocument/2006/relationships/hyperlink" Target="http://www.2imanagement.ch/?id=57&amp;helpdesk&amp;topic=118" TargetMode="External"/><Relationship Id="rId6" Type="http://schemas.openxmlformats.org/officeDocument/2006/relationships/image" Target="../media/image20.png"/><Relationship Id="rId11" Type="http://schemas.openxmlformats.org/officeDocument/2006/relationships/hyperlink" Target="#top_forces"/><Relationship Id="rId24" Type="http://schemas.openxmlformats.org/officeDocument/2006/relationships/chart" Target="../charts/chart21.xml"/><Relationship Id="rId5" Type="http://schemas.openxmlformats.org/officeDocument/2006/relationships/image" Target="../media/image19.png"/><Relationship Id="rId15" Type="http://schemas.openxmlformats.org/officeDocument/2006/relationships/image" Target="../media/image4.gif"/><Relationship Id="rId23" Type="http://schemas.openxmlformats.org/officeDocument/2006/relationships/chart" Target="../charts/chart20.xml"/><Relationship Id="rId10" Type="http://schemas.openxmlformats.org/officeDocument/2006/relationships/image" Target="../media/image24.png"/><Relationship Id="rId19" Type="http://schemas.openxmlformats.org/officeDocument/2006/relationships/chart" Target="../charts/chart16.xml"/><Relationship Id="rId4" Type="http://schemas.openxmlformats.org/officeDocument/2006/relationships/image" Target="../media/image18.png"/><Relationship Id="rId9" Type="http://schemas.openxmlformats.org/officeDocument/2006/relationships/image" Target="../media/image23.png"/><Relationship Id="rId14" Type="http://schemas.openxmlformats.org/officeDocument/2006/relationships/hyperlink" Target="#graph_forces"/><Relationship Id="rId22" Type="http://schemas.openxmlformats.org/officeDocument/2006/relationships/chart" Target="../charts/chart19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png"/><Relationship Id="rId13" Type="http://schemas.openxmlformats.org/officeDocument/2006/relationships/chart" Target="../charts/chart23.xml"/><Relationship Id="rId18" Type="http://schemas.openxmlformats.org/officeDocument/2006/relationships/chart" Target="../charts/chart26.xml"/><Relationship Id="rId26" Type="http://schemas.openxmlformats.org/officeDocument/2006/relationships/image" Target="../media/image1.emf"/><Relationship Id="rId3" Type="http://schemas.openxmlformats.org/officeDocument/2006/relationships/image" Target="../media/image17.png"/><Relationship Id="rId21" Type="http://schemas.openxmlformats.org/officeDocument/2006/relationships/chart" Target="../charts/chart29.xml"/><Relationship Id="rId7" Type="http://schemas.openxmlformats.org/officeDocument/2006/relationships/image" Target="../media/image21.png"/><Relationship Id="rId12" Type="http://schemas.openxmlformats.org/officeDocument/2006/relationships/hyperlink" Target="#Canvas!C25"/><Relationship Id="rId17" Type="http://schemas.openxmlformats.org/officeDocument/2006/relationships/chart" Target="../charts/chart25.xml"/><Relationship Id="rId25" Type="http://schemas.openxmlformats.org/officeDocument/2006/relationships/chart" Target="../charts/chart33.xml"/><Relationship Id="rId2" Type="http://schemas.openxmlformats.org/officeDocument/2006/relationships/image" Target="../media/image16.png"/><Relationship Id="rId16" Type="http://schemas.openxmlformats.org/officeDocument/2006/relationships/chart" Target="../charts/chart24.xml"/><Relationship Id="rId20" Type="http://schemas.openxmlformats.org/officeDocument/2006/relationships/chart" Target="../charts/chart28.xml"/><Relationship Id="rId1" Type="http://schemas.openxmlformats.org/officeDocument/2006/relationships/hyperlink" Target="http://www.2imanagement.ch/?id=57&amp;helpdesk&amp;topic=118" TargetMode="External"/><Relationship Id="rId6" Type="http://schemas.openxmlformats.org/officeDocument/2006/relationships/image" Target="../media/image20.png"/><Relationship Id="rId11" Type="http://schemas.openxmlformats.org/officeDocument/2006/relationships/hyperlink" Target="#Chances!top_chances"/><Relationship Id="rId24" Type="http://schemas.openxmlformats.org/officeDocument/2006/relationships/chart" Target="../charts/chart32.xml"/><Relationship Id="rId5" Type="http://schemas.openxmlformats.org/officeDocument/2006/relationships/image" Target="../media/image19.png"/><Relationship Id="rId15" Type="http://schemas.openxmlformats.org/officeDocument/2006/relationships/image" Target="../media/image4.gif"/><Relationship Id="rId23" Type="http://schemas.openxmlformats.org/officeDocument/2006/relationships/chart" Target="../charts/chart31.xml"/><Relationship Id="rId10" Type="http://schemas.openxmlformats.org/officeDocument/2006/relationships/image" Target="../media/image24.png"/><Relationship Id="rId19" Type="http://schemas.openxmlformats.org/officeDocument/2006/relationships/chart" Target="../charts/chart27.xml"/><Relationship Id="rId4" Type="http://schemas.openxmlformats.org/officeDocument/2006/relationships/image" Target="../media/image18.png"/><Relationship Id="rId9" Type="http://schemas.openxmlformats.org/officeDocument/2006/relationships/image" Target="../media/image23.png"/><Relationship Id="rId14" Type="http://schemas.openxmlformats.org/officeDocument/2006/relationships/hyperlink" Target="#Chances!graph_chances"/><Relationship Id="rId22" Type="http://schemas.openxmlformats.org/officeDocument/2006/relationships/chart" Target="../charts/chart30.xml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#Prozesse!A57"/><Relationship Id="rId7" Type="http://schemas.openxmlformats.org/officeDocument/2006/relationships/image" Target="../media/image3.png"/><Relationship Id="rId2" Type="http://schemas.openxmlformats.org/officeDocument/2006/relationships/hyperlink" Target="http://www.2imanagement.ch/?id=57&amp;helpdesk&amp;topic=118" TargetMode="External"/><Relationship Id="rId1" Type="http://schemas.openxmlformats.org/officeDocument/2006/relationships/chart" Target="../charts/chart34.xml"/><Relationship Id="rId6" Type="http://schemas.openxmlformats.org/officeDocument/2006/relationships/hyperlink" Target="#MenuChange!A1"/><Relationship Id="rId5" Type="http://schemas.openxmlformats.org/officeDocument/2006/relationships/hyperlink" Target="#Prozesse!C5"/><Relationship Id="rId4" Type="http://schemas.openxmlformats.org/officeDocument/2006/relationships/image" Target="../media/image4.gif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Strategie_1"/><Relationship Id="rId2" Type="http://schemas.openxmlformats.org/officeDocument/2006/relationships/image" Target="../media/image3.png"/><Relationship Id="rId1" Type="http://schemas.openxmlformats.org/officeDocument/2006/relationships/hyperlink" Target="#MenuChange!A1"/><Relationship Id="rId6" Type="http://schemas.openxmlformats.org/officeDocument/2006/relationships/image" Target="../media/image1.emf"/><Relationship Id="rId5" Type="http://schemas.openxmlformats.org/officeDocument/2006/relationships/hyperlink" Target="#Cockpit!C7"/><Relationship Id="rId4" Type="http://schemas.openxmlformats.org/officeDocument/2006/relationships/hyperlink" Target="http://www.2imanagement.ch/?id=57&amp;helpdesk&amp;topic=118" TargetMode="External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hyperlink" Target="#MenuChange!A1"/><Relationship Id="rId7" Type="http://schemas.openxmlformats.org/officeDocument/2006/relationships/image" Target="../media/image25.jpeg"/><Relationship Id="rId2" Type="http://schemas.openxmlformats.org/officeDocument/2006/relationships/image" Target="../media/image4.gif"/><Relationship Id="rId1" Type="http://schemas.openxmlformats.org/officeDocument/2006/relationships/hyperlink" Target="#graph_stakeholder"/><Relationship Id="rId6" Type="http://schemas.openxmlformats.org/officeDocument/2006/relationships/hyperlink" Target="#Personal!C5"/><Relationship Id="rId5" Type="http://schemas.openxmlformats.org/officeDocument/2006/relationships/hyperlink" Target="http://www.2imanagement.ch/?id=57&amp;helpdesk&amp;topic=118" TargetMode="External"/><Relationship Id="rId4" Type="http://schemas.openxmlformats.org/officeDocument/2006/relationships/image" Target="../media/image3.png"/><Relationship Id="rId9" Type="http://schemas.openxmlformats.org/officeDocument/2006/relationships/image" Target="../media/image1.emf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hyperlink" Target="#Massnahmen!C7"/><Relationship Id="rId2" Type="http://schemas.openxmlformats.org/officeDocument/2006/relationships/hyperlink" Target="http://www.2imanagement.ch/?id=57&amp;helpdesk&amp;topic=118" TargetMode="External"/><Relationship Id="rId1" Type="http://schemas.openxmlformats.org/officeDocument/2006/relationships/hyperlink" Target="#Cockpit!J7"/><Relationship Id="rId6" Type="http://schemas.openxmlformats.org/officeDocument/2006/relationships/image" Target="../media/image1.emf"/><Relationship Id="rId5" Type="http://schemas.openxmlformats.org/officeDocument/2006/relationships/image" Target="../media/image3.png"/><Relationship Id="rId4" Type="http://schemas.openxmlformats.org/officeDocument/2006/relationships/hyperlink" Target="#MenuChange!A1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3.png"/><Relationship Id="rId7" Type="http://schemas.openxmlformats.org/officeDocument/2006/relationships/chart" Target="../charts/chart36.xml"/><Relationship Id="rId2" Type="http://schemas.openxmlformats.org/officeDocument/2006/relationships/hyperlink" Target="#MenuChange!A1"/><Relationship Id="rId1" Type="http://schemas.openxmlformats.org/officeDocument/2006/relationships/hyperlink" Target="http://www.2imanagement.ch/?id=57&amp;helpdesk&amp;topic=118" TargetMode="External"/><Relationship Id="rId6" Type="http://schemas.openxmlformats.org/officeDocument/2006/relationships/image" Target="../media/image4.gif"/><Relationship Id="rId5" Type="http://schemas.openxmlformats.org/officeDocument/2006/relationships/hyperlink" Target="#Graph_Kompetenzen"/><Relationship Id="rId4" Type="http://schemas.openxmlformats.org/officeDocument/2006/relationships/hyperlink" Target="#Kernkompetenzen!C6"/></Relationships>
</file>

<file path=xl/drawings/_rels/drawing23.xml.rels><?xml version="1.0" encoding="UTF-8" standalone="yes"?>
<Relationships xmlns="http://schemas.openxmlformats.org/package/2006/relationships"><Relationship Id="rId8" Type="http://schemas.openxmlformats.org/officeDocument/2006/relationships/hyperlink" Target="#Fishbone!A1"/><Relationship Id="rId13" Type="http://schemas.openxmlformats.org/officeDocument/2006/relationships/image" Target="../media/image1.emf"/><Relationship Id="rId3" Type="http://schemas.openxmlformats.org/officeDocument/2006/relationships/hyperlink" Target="#'2Projmgtm'!A1"/><Relationship Id="rId7" Type="http://schemas.openxmlformats.org/officeDocument/2006/relationships/hyperlink" Target="#Pareto!A1"/><Relationship Id="rId12" Type="http://schemas.openxmlformats.org/officeDocument/2006/relationships/hyperlink" Target="http://www.2imanagement.ch/78601.html" TargetMode="External"/><Relationship Id="rId2" Type="http://schemas.openxmlformats.org/officeDocument/2006/relationships/hyperlink" Target="#'2Cockpit'!A1"/><Relationship Id="rId1" Type="http://schemas.openxmlformats.org/officeDocument/2006/relationships/hyperlink" Target="#'2Projektmgmt'!A1"/><Relationship Id="rId6" Type="http://schemas.openxmlformats.org/officeDocument/2006/relationships/image" Target="../media/image15.png"/><Relationship Id="rId11" Type="http://schemas.openxmlformats.org/officeDocument/2006/relationships/hyperlink" Target="#Eisenhower!A1"/><Relationship Id="rId5" Type="http://schemas.openxmlformats.org/officeDocument/2006/relationships/hyperlink" Target="#MenuChange!A1"/><Relationship Id="rId10" Type="http://schemas.openxmlformats.org/officeDocument/2006/relationships/hyperlink" Target="#KPI!A1"/><Relationship Id="rId4" Type="http://schemas.openxmlformats.org/officeDocument/2006/relationships/hyperlink" Target="#'2Strategie'!A1"/><Relationship Id="rId9" Type="http://schemas.openxmlformats.org/officeDocument/2006/relationships/hyperlink" Target="#KostenNutzen!A1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118" TargetMode="External"/><Relationship Id="rId2" Type="http://schemas.openxmlformats.org/officeDocument/2006/relationships/hyperlink" Target="#Leadership!A1"/><Relationship Id="rId1" Type="http://schemas.openxmlformats.org/officeDocument/2006/relationships/image" Target="../media/image26.png"/><Relationship Id="rId4" Type="http://schemas.openxmlformats.org/officeDocument/2006/relationships/image" Target="../media/image1.emf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gif"/><Relationship Id="rId7" Type="http://schemas.openxmlformats.org/officeDocument/2006/relationships/image" Target="../media/image1.emf"/><Relationship Id="rId2" Type="http://schemas.openxmlformats.org/officeDocument/2006/relationships/hyperlink" Target="#Graph_Kunden"/><Relationship Id="rId1" Type="http://schemas.openxmlformats.org/officeDocument/2006/relationships/hyperlink" Target="http://www.2imanagement.ch/?id=57&amp;helpdesk&amp;topic=118" TargetMode="External"/><Relationship Id="rId6" Type="http://schemas.openxmlformats.org/officeDocument/2006/relationships/chart" Target="../charts/chart37.xml"/><Relationship Id="rId5" Type="http://schemas.openxmlformats.org/officeDocument/2006/relationships/hyperlink" Target="#Leadership!A1"/><Relationship Id="rId4" Type="http://schemas.openxmlformats.org/officeDocument/2006/relationships/hyperlink" Target="#KostenNutzen!C5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8.xml"/><Relationship Id="rId2" Type="http://schemas.openxmlformats.org/officeDocument/2006/relationships/hyperlink" Target="#MatrixIdee!A2"/><Relationship Id="rId1" Type="http://schemas.openxmlformats.org/officeDocument/2006/relationships/hyperlink" Target="http://www.2imanagement.ch/?id=57&amp;helpdesk&amp;topic=118" TargetMode="External"/><Relationship Id="rId5" Type="http://schemas.openxmlformats.org/officeDocument/2006/relationships/image" Target="../media/image1.emf"/><Relationship Id="rId4" Type="http://schemas.openxmlformats.org/officeDocument/2006/relationships/hyperlink" Target="#IdeenMgmt!C5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hyperlink" Target="#Leadership!A1"/><Relationship Id="rId1" Type="http://schemas.openxmlformats.org/officeDocument/2006/relationships/hyperlink" Target="http://www.2imanagement.ch/?id=57&amp;helpdesk&amp;topic=118" TargetMode="Externa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#Leadership!A1"/><Relationship Id="rId2" Type="http://schemas.openxmlformats.org/officeDocument/2006/relationships/hyperlink" Target="http://www.2imanagement.ch/?id=57&amp;helpdesk&amp;topic=118" TargetMode="External"/><Relationship Id="rId1" Type="http://schemas.openxmlformats.org/officeDocument/2006/relationships/chart" Target="../charts/chart39.xml"/><Relationship Id="rId4" Type="http://schemas.openxmlformats.org/officeDocument/2006/relationships/image" Target="../media/image1.emf"/></Relationships>
</file>

<file path=xl/drawings/_rels/drawing2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2.xml"/><Relationship Id="rId13" Type="http://schemas.openxmlformats.org/officeDocument/2006/relationships/hyperlink" Target="#Kommunikation!C88"/><Relationship Id="rId3" Type="http://schemas.openxmlformats.org/officeDocument/2006/relationships/hyperlink" Target="#Kommunikation!C13"/><Relationship Id="rId7" Type="http://schemas.openxmlformats.org/officeDocument/2006/relationships/hyperlink" Target="#Kommunikation!C46"/><Relationship Id="rId12" Type="http://schemas.openxmlformats.org/officeDocument/2006/relationships/chart" Target="../charts/chart44.xml"/><Relationship Id="rId17" Type="http://schemas.openxmlformats.org/officeDocument/2006/relationships/image" Target="../media/image1.emf"/><Relationship Id="rId2" Type="http://schemas.openxmlformats.org/officeDocument/2006/relationships/hyperlink" Target="#top_Porter"/><Relationship Id="rId16" Type="http://schemas.openxmlformats.org/officeDocument/2006/relationships/image" Target="../media/image3.png"/><Relationship Id="rId1" Type="http://schemas.openxmlformats.org/officeDocument/2006/relationships/hyperlink" Target="http://www.2imanagement.ch/?id=57&amp;helpdesk&amp;topic=118" TargetMode="External"/><Relationship Id="rId6" Type="http://schemas.openxmlformats.org/officeDocument/2006/relationships/chart" Target="../charts/chart41.xml"/><Relationship Id="rId11" Type="http://schemas.openxmlformats.org/officeDocument/2006/relationships/hyperlink" Target="#Kommunikation!C74"/><Relationship Id="rId5" Type="http://schemas.openxmlformats.org/officeDocument/2006/relationships/hyperlink" Target="#Kommunikation!C32"/><Relationship Id="rId15" Type="http://schemas.openxmlformats.org/officeDocument/2006/relationships/hyperlink" Target="#MenuChange!A1"/><Relationship Id="rId10" Type="http://schemas.openxmlformats.org/officeDocument/2006/relationships/chart" Target="../charts/chart43.xml"/><Relationship Id="rId4" Type="http://schemas.openxmlformats.org/officeDocument/2006/relationships/chart" Target="../charts/chart40.xml"/><Relationship Id="rId9" Type="http://schemas.openxmlformats.org/officeDocument/2006/relationships/hyperlink" Target="#Kommunikation!C60"/><Relationship Id="rId14" Type="http://schemas.openxmlformats.org/officeDocument/2006/relationships/chart" Target="../charts/chart45.xml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MenuChange!A1"/><Relationship Id="rId1" Type="http://schemas.openxmlformats.org/officeDocument/2006/relationships/hyperlink" Target="http://www.2imanagement.ch/?id=57&amp;helpdesk&amp;topic=118" TargetMode="External"/><Relationship Id="rId4" Type="http://schemas.openxmlformats.org/officeDocument/2006/relationships/image" Target="../media/image1.emf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jpg"/><Relationship Id="rId3" Type="http://schemas.openxmlformats.org/officeDocument/2006/relationships/image" Target="../media/image27.png"/><Relationship Id="rId7" Type="http://schemas.openxmlformats.org/officeDocument/2006/relationships/image" Target="../media/image3.png"/><Relationship Id="rId2" Type="http://schemas.openxmlformats.org/officeDocument/2006/relationships/hyperlink" Target=":/" TargetMode="External"/><Relationship Id="rId1" Type="http://schemas.openxmlformats.org/officeDocument/2006/relationships/hyperlink" Target="01_Cockpit.exe" TargetMode="External"/><Relationship Id="rId6" Type="http://schemas.openxmlformats.org/officeDocument/2006/relationships/hyperlink" Target="#MenuChange!A1"/><Relationship Id="rId5" Type="http://schemas.openxmlformats.org/officeDocument/2006/relationships/hyperlink" Target="http://2imanagement.ch/18985.html" TargetMode="External"/><Relationship Id="rId4" Type="http://schemas.openxmlformats.org/officeDocument/2006/relationships/hyperlink" Target="#Leadership!A1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7" Type="http://schemas.openxmlformats.org/officeDocument/2006/relationships/image" Target="../media/image3.png"/><Relationship Id="rId2" Type="http://schemas.openxmlformats.org/officeDocument/2006/relationships/hyperlink" Target=":/" TargetMode="External"/><Relationship Id="rId1" Type="http://schemas.openxmlformats.org/officeDocument/2006/relationships/hyperlink" Target="02_StrategicManagement.exe" TargetMode="External"/><Relationship Id="rId6" Type="http://schemas.openxmlformats.org/officeDocument/2006/relationships/hyperlink" Target="#MenuChange!A1"/><Relationship Id="rId5" Type="http://schemas.openxmlformats.org/officeDocument/2006/relationships/image" Target="../media/image29.png"/><Relationship Id="rId4" Type="http://schemas.openxmlformats.org/officeDocument/2006/relationships/hyperlink" Target="http://2imanagement.ch/18922.html" TargetMode="External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7" Type="http://schemas.openxmlformats.org/officeDocument/2006/relationships/image" Target="../media/image3.png"/><Relationship Id="rId2" Type="http://schemas.openxmlformats.org/officeDocument/2006/relationships/hyperlink" Target=":/" TargetMode="External"/><Relationship Id="rId1" Type="http://schemas.openxmlformats.org/officeDocument/2006/relationships/hyperlink" Target="04_BusinessPlan.exe" TargetMode="External"/><Relationship Id="rId6" Type="http://schemas.openxmlformats.org/officeDocument/2006/relationships/hyperlink" Target="#'Menu Innovation'!A1"/><Relationship Id="rId5" Type="http://schemas.openxmlformats.org/officeDocument/2006/relationships/image" Target="../media/image30.png"/><Relationship Id="rId4" Type="http://schemas.openxmlformats.org/officeDocument/2006/relationships/hyperlink" Target="http://2imanagement.ch/19301.html" TargetMode="External"/></Relationships>
</file>

<file path=xl/drawings/_rels/drawing3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27.png"/><Relationship Id="rId7" Type="http://schemas.openxmlformats.org/officeDocument/2006/relationships/hyperlink" Target="#'Menu Innovation'!A1"/><Relationship Id="rId2" Type="http://schemas.openxmlformats.org/officeDocument/2006/relationships/hyperlink" Target=":/" TargetMode="External"/><Relationship Id="rId1" Type="http://schemas.openxmlformats.org/officeDocument/2006/relationships/hyperlink" Target="01_Cockpit.exe#'BSC'!E9" TargetMode="External"/><Relationship Id="rId6" Type="http://schemas.openxmlformats.org/officeDocument/2006/relationships/image" Target="../media/image31.png"/><Relationship Id="rId5" Type="http://schemas.openxmlformats.org/officeDocument/2006/relationships/hyperlink" Target="http://2imanagement.ch/18985.html" TargetMode="External"/><Relationship Id="rId4" Type="http://schemas.openxmlformats.org/officeDocument/2006/relationships/hyperlink" Target="#Umsetzung!C5"/></Relationships>
</file>

<file path=xl/drawings/_rels/drawing35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27.png"/><Relationship Id="rId7" Type="http://schemas.openxmlformats.org/officeDocument/2006/relationships/hyperlink" Target="#MenuChange!A1"/><Relationship Id="rId2" Type="http://schemas.openxmlformats.org/officeDocument/2006/relationships/hyperlink" Target=":/" TargetMode="External"/><Relationship Id="rId1" Type="http://schemas.openxmlformats.org/officeDocument/2006/relationships/hyperlink" Target="03_ProjectManagement.exe" TargetMode="External"/><Relationship Id="rId6" Type="http://schemas.openxmlformats.org/officeDocument/2006/relationships/image" Target="../media/image32.png"/><Relationship Id="rId5" Type="http://schemas.openxmlformats.org/officeDocument/2006/relationships/hyperlink" Target="http://2imanagement.ch/18901.html" TargetMode="External"/><Relationship Id="rId4" Type="http://schemas.openxmlformats.org/officeDocument/2006/relationships/hyperlink" Target="#Leadership!A1"/></Relationships>
</file>

<file path=xl/drawings/_rels/drawing36.xml.rels><?xml version="1.0" encoding="UTF-8" standalone="yes"?>
<Relationships xmlns="http://schemas.openxmlformats.org/package/2006/relationships"><Relationship Id="rId26" Type="http://schemas.openxmlformats.org/officeDocument/2006/relationships/hyperlink" Target="#_o26"/><Relationship Id="rId21" Type="http://schemas.openxmlformats.org/officeDocument/2006/relationships/hyperlink" Target="#_o21"/><Relationship Id="rId42" Type="http://schemas.openxmlformats.org/officeDocument/2006/relationships/hyperlink" Target="#_o43"/><Relationship Id="rId47" Type="http://schemas.openxmlformats.org/officeDocument/2006/relationships/hyperlink" Target="#_o48"/><Relationship Id="rId63" Type="http://schemas.openxmlformats.org/officeDocument/2006/relationships/hyperlink" Target="#_o64"/><Relationship Id="rId68" Type="http://schemas.openxmlformats.org/officeDocument/2006/relationships/hyperlink" Target="#_o69"/><Relationship Id="rId16" Type="http://schemas.openxmlformats.org/officeDocument/2006/relationships/hyperlink" Target="#_o16"/><Relationship Id="rId11" Type="http://schemas.openxmlformats.org/officeDocument/2006/relationships/hyperlink" Target="#_o11"/><Relationship Id="rId32" Type="http://schemas.openxmlformats.org/officeDocument/2006/relationships/hyperlink" Target="#_o32"/><Relationship Id="rId37" Type="http://schemas.openxmlformats.org/officeDocument/2006/relationships/hyperlink" Target="#_o37"/><Relationship Id="rId53" Type="http://schemas.openxmlformats.org/officeDocument/2006/relationships/hyperlink" Target="#_o54"/><Relationship Id="rId58" Type="http://schemas.openxmlformats.org/officeDocument/2006/relationships/hyperlink" Target="#_o59"/><Relationship Id="rId74" Type="http://schemas.openxmlformats.org/officeDocument/2006/relationships/hyperlink" Target="#_o75"/><Relationship Id="rId79" Type="http://schemas.openxmlformats.org/officeDocument/2006/relationships/hyperlink" Target="#_o80"/><Relationship Id="rId5" Type="http://schemas.openxmlformats.org/officeDocument/2006/relationships/hyperlink" Target="#_o5"/><Relationship Id="rId61" Type="http://schemas.openxmlformats.org/officeDocument/2006/relationships/hyperlink" Target="#_o62"/><Relationship Id="rId82" Type="http://schemas.openxmlformats.org/officeDocument/2006/relationships/image" Target="../media/image1.emf"/><Relationship Id="rId19" Type="http://schemas.openxmlformats.org/officeDocument/2006/relationships/hyperlink" Target="#_o19"/><Relationship Id="rId14" Type="http://schemas.openxmlformats.org/officeDocument/2006/relationships/hyperlink" Target="#_o14"/><Relationship Id="rId22" Type="http://schemas.openxmlformats.org/officeDocument/2006/relationships/hyperlink" Target="#_o22"/><Relationship Id="rId27" Type="http://schemas.openxmlformats.org/officeDocument/2006/relationships/hyperlink" Target="#_o27"/><Relationship Id="rId30" Type="http://schemas.openxmlformats.org/officeDocument/2006/relationships/hyperlink" Target="#_o30"/><Relationship Id="rId35" Type="http://schemas.openxmlformats.org/officeDocument/2006/relationships/hyperlink" Target="#_o35"/><Relationship Id="rId43" Type="http://schemas.openxmlformats.org/officeDocument/2006/relationships/hyperlink" Target="#_o44"/><Relationship Id="rId48" Type="http://schemas.openxmlformats.org/officeDocument/2006/relationships/hyperlink" Target="#_o49"/><Relationship Id="rId56" Type="http://schemas.openxmlformats.org/officeDocument/2006/relationships/hyperlink" Target="#_o57"/><Relationship Id="rId64" Type="http://schemas.openxmlformats.org/officeDocument/2006/relationships/hyperlink" Target="#_o65"/><Relationship Id="rId69" Type="http://schemas.openxmlformats.org/officeDocument/2006/relationships/hyperlink" Target="#_o70"/><Relationship Id="rId77" Type="http://schemas.openxmlformats.org/officeDocument/2006/relationships/hyperlink" Target="#_o78"/><Relationship Id="rId8" Type="http://schemas.openxmlformats.org/officeDocument/2006/relationships/hyperlink" Target="#_o8"/><Relationship Id="rId51" Type="http://schemas.openxmlformats.org/officeDocument/2006/relationships/hyperlink" Target="#_o52"/><Relationship Id="rId72" Type="http://schemas.openxmlformats.org/officeDocument/2006/relationships/hyperlink" Target="#_o73"/><Relationship Id="rId80" Type="http://schemas.openxmlformats.org/officeDocument/2006/relationships/hyperlink" Target="#_o41"/><Relationship Id="rId3" Type="http://schemas.openxmlformats.org/officeDocument/2006/relationships/hyperlink" Target="#_o3"/><Relationship Id="rId12" Type="http://schemas.openxmlformats.org/officeDocument/2006/relationships/hyperlink" Target="#_o12"/><Relationship Id="rId17" Type="http://schemas.openxmlformats.org/officeDocument/2006/relationships/hyperlink" Target="#_o17"/><Relationship Id="rId25" Type="http://schemas.openxmlformats.org/officeDocument/2006/relationships/hyperlink" Target="#_o25"/><Relationship Id="rId33" Type="http://schemas.openxmlformats.org/officeDocument/2006/relationships/hyperlink" Target="#_o33"/><Relationship Id="rId38" Type="http://schemas.openxmlformats.org/officeDocument/2006/relationships/hyperlink" Target="#_o38"/><Relationship Id="rId46" Type="http://schemas.openxmlformats.org/officeDocument/2006/relationships/hyperlink" Target="#_o47"/><Relationship Id="rId59" Type="http://schemas.openxmlformats.org/officeDocument/2006/relationships/hyperlink" Target="#_o60"/><Relationship Id="rId67" Type="http://schemas.openxmlformats.org/officeDocument/2006/relationships/hyperlink" Target="#_o68"/><Relationship Id="rId20" Type="http://schemas.openxmlformats.org/officeDocument/2006/relationships/hyperlink" Target="#_o20"/><Relationship Id="rId41" Type="http://schemas.openxmlformats.org/officeDocument/2006/relationships/hyperlink" Target="#_o42"/><Relationship Id="rId54" Type="http://schemas.openxmlformats.org/officeDocument/2006/relationships/hyperlink" Target="#_o55"/><Relationship Id="rId62" Type="http://schemas.openxmlformats.org/officeDocument/2006/relationships/hyperlink" Target="#_o63"/><Relationship Id="rId70" Type="http://schemas.openxmlformats.org/officeDocument/2006/relationships/hyperlink" Target="#_o71"/><Relationship Id="rId75" Type="http://schemas.openxmlformats.org/officeDocument/2006/relationships/hyperlink" Target="#_o76"/><Relationship Id="rId1" Type="http://schemas.openxmlformats.org/officeDocument/2006/relationships/hyperlink" Target="#_o1"/><Relationship Id="rId6" Type="http://schemas.openxmlformats.org/officeDocument/2006/relationships/hyperlink" Target="#_o6"/><Relationship Id="rId15" Type="http://schemas.openxmlformats.org/officeDocument/2006/relationships/hyperlink" Target="#_o15"/><Relationship Id="rId23" Type="http://schemas.openxmlformats.org/officeDocument/2006/relationships/hyperlink" Target="#_o23"/><Relationship Id="rId28" Type="http://schemas.openxmlformats.org/officeDocument/2006/relationships/hyperlink" Target="#_o28"/><Relationship Id="rId36" Type="http://schemas.openxmlformats.org/officeDocument/2006/relationships/hyperlink" Target="#_o36"/><Relationship Id="rId49" Type="http://schemas.openxmlformats.org/officeDocument/2006/relationships/hyperlink" Target="#_o50"/><Relationship Id="rId57" Type="http://schemas.openxmlformats.org/officeDocument/2006/relationships/hyperlink" Target="#_o58"/><Relationship Id="rId10" Type="http://schemas.openxmlformats.org/officeDocument/2006/relationships/hyperlink" Target="#_o10"/><Relationship Id="rId31" Type="http://schemas.openxmlformats.org/officeDocument/2006/relationships/hyperlink" Target="#_o31"/><Relationship Id="rId44" Type="http://schemas.openxmlformats.org/officeDocument/2006/relationships/hyperlink" Target="#_o45"/><Relationship Id="rId52" Type="http://schemas.openxmlformats.org/officeDocument/2006/relationships/hyperlink" Target="#_o53"/><Relationship Id="rId60" Type="http://schemas.openxmlformats.org/officeDocument/2006/relationships/hyperlink" Target="#_o61"/><Relationship Id="rId65" Type="http://schemas.openxmlformats.org/officeDocument/2006/relationships/hyperlink" Target="#_o66"/><Relationship Id="rId73" Type="http://schemas.openxmlformats.org/officeDocument/2006/relationships/hyperlink" Target="#_o74"/><Relationship Id="rId78" Type="http://schemas.openxmlformats.org/officeDocument/2006/relationships/hyperlink" Target="#_o79"/><Relationship Id="rId81" Type="http://schemas.openxmlformats.org/officeDocument/2006/relationships/hyperlink" Target="http://www.2imanagement.ch/?id=57&amp;helpdesk&amp;topic=118" TargetMode="External"/><Relationship Id="rId4" Type="http://schemas.openxmlformats.org/officeDocument/2006/relationships/hyperlink" Target="#_o4"/><Relationship Id="rId9" Type="http://schemas.openxmlformats.org/officeDocument/2006/relationships/hyperlink" Target="#_o9"/><Relationship Id="rId13" Type="http://schemas.openxmlformats.org/officeDocument/2006/relationships/hyperlink" Target="#_o13"/><Relationship Id="rId18" Type="http://schemas.openxmlformats.org/officeDocument/2006/relationships/hyperlink" Target="#_o18"/><Relationship Id="rId39" Type="http://schemas.openxmlformats.org/officeDocument/2006/relationships/hyperlink" Target="#_o39"/><Relationship Id="rId34" Type="http://schemas.openxmlformats.org/officeDocument/2006/relationships/hyperlink" Target="#_o34"/><Relationship Id="rId50" Type="http://schemas.openxmlformats.org/officeDocument/2006/relationships/hyperlink" Target="#_o51"/><Relationship Id="rId55" Type="http://schemas.openxmlformats.org/officeDocument/2006/relationships/hyperlink" Target="#_o56"/><Relationship Id="rId76" Type="http://schemas.openxmlformats.org/officeDocument/2006/relationships/hyperlink" Target="#_o77"/><Relationship Id="rId7" Type="http://schemas.openxmlformats.org/officeDocument/2006/relationships/hyperlink" Target="#_o7"/><Relationship Id="rId71" Type="http://schemas.openxmlformats.org/officeDocument/2006/relationships/hyperlink" Target="#_o72"/><Relationship Id="rId2" Type="http://schemas.openxmlformats.org/officeDocument/2006/relationships/hyperlink" Target="#_o2"/><Relationship Id="rId29" Type="http://schemas.openxmlformats.org/officeDocument/2006/relationships/hyperlink" Target="#_o29"/><Relationship Id="rId24" Type="http://schemas.openxmlformats.org/officeDocument/2006/relationships/hyperlink" Target="#_o24"/><Relationship Id="rId40" Type="http://schemas.openxmlformats.org/officeDocument/2006/relationships/hyperlink" Target="#_o40"/><Relationship Id="rId45" Type="http://schemas.openxmlformats.org/officeDocument/2006/relationships/hyperlink" Target="#_o46"/><Relationship Id="rId66" Type="http://schemas.openxmlformats.org/officeDocument/2006/relationships/hyperlink" Target="#_o67"/></Relationships>
</file>

<file path=xl/drawings/_rels/drawing37.xml.rels><?xml version="1.0" encoding="UTF-8" standalone="yes"?>
<Relationships xmlns="http://schemas.openxmlformats.org/package/2006/relationships"><Relationship Id="rId13" Type="http://schemas.openxmlformats.org/officeDocument/2006/relationships/hyperlink" Target="#__s13"/><Relationship Id="rId18" Type="http://schemas.openxmlformats.org/officeDocument/2006/relationships/hyperlink" Target="#__s18"/><Relationship Id="rId26" Type="http://schemas.openxmlformats.org/officeDocument/2006/relationships/hyperlink" Target="#__s26"/><Relationship Id="rId39" Type="http://schemas.openxmlformats.org/officeDocument/2006/relationships/hyperlink" Target="#__s39"/><Relationship Id="rId21" Type="http://schemas.openxmlformats.org/officeDocument/2006/relationships/hyperlink" Target="#__s21"/><Relationship Id="rId34" Type="http://schemas.openxmlformats.org/officeDocument/2006/relationships/hyperlink" Target="#__s34"/><Relationship Id="rId42" Type="http://schemas.openxmlformats.org/officeDocument/2006/relationships/image" Target="../media/image1.emf"/><Relationship Id="rId7" Type="http://schemas.openxmlformats.org/officeDocument/2006/relationships/hyperlink" Target="#__s7"/><Relationship Id="rId2" Type="http://schemas.openxmlformats.org/officeDocument/2006/relationships/hyperlink" Target="#__s2"/><Relationship Id="rId16" Type="http://schemas.openxmlformats.org/officeDocument/2006/relationships/hyperlink" Target="#__s16"/><Relationship Id="rId20" Type="http://schemas.openxmlformats.org/officeDocument/2006/relationships/hyperlink" Target="#__s20"/><Relationship Id="rId29" Type="http://schemas.openxmlformats.org/officeDocument/2006/relationships/hyperlink" Target="#__s29"/><Relationship Id="rId41" Type="http://schemas.openxmlformats.org/officeDocument/2006/relationships/hyperlink" Target="http://www.2imanagement.ch/78601.html" TargetMode="External"/><Relationship Id="rId1" Type="http://schemas.openxmlformats.org/officeDocument/2006/relationships/hyperlink" Target="#__s1"/><Relationship Id="rId6" Type="http://schemas.openxmlformats.org/officeDocument/2006/relationships/hyperlink" Target="#__s6"/><Relationship Id="rId11" Type="http://schemas.openxmlformats.org/officeDocument/2006/relationships/hyperlink" Target="#__s11"/><Relationship Id="rId24" Type="http://schemas.openxmlformats.org/officeDocument/2006/relationships/hyperlink" Target="#__s24"/><Relationship Id="rId32" Type="http://schemas.openxmlformats.org/officeDocument/2006/relationships/hyperlink" Target="#__s32"/><Relationship Id="rId37" Type="http://schemas.openxmlformats.org/officeDocument/2006/relationships/hyperlink" Target="#__s37"/><Relationship Id="rId40" Type="http://schemas.openxmlformats.org/officeDocument/2006/relationships/hyperlink" Target="#__s40"/><Relationship Id="rId5" Type="http://schemas.openxmlformats.org/officeDocument/2006/relationships/hyperlink" Target="#__s5"/><Relationship Id="rId15" Type="http://schemas.openxmlformats.org/officeDocument/2006/relationships/hyperlink" Target="#__s15"/><Relationship Id="rId23" Type="http://schemas.openxmlformats.org/officeDocument/2006/relationships/hyperlink" Target="#__s23"/><Relationship Id="rId28" Type="http://schemas.openxmlformats.org/officeDocument/2006/relationships/hyperlink" Target="#__s28"/><Relationship Id="rId36" Type="http://schemas.openxmlformats.org/officeDocument/2006/relationships/hyperlink" Target="#__s36"/><Relationship Id="rId10" Type="http://schemas.openxmlformats.org/officeDocument/2006/relationships/hyperlink" Target="#__s10"/><Relationship Id="rId19" Type="http://schemas.openxmlformats.org/officeDocument/2006/relationships/hyperlink" Target="#__s19"/><Relationship Id="rId31" Type="http://schemas.openxmlformats.org/officeDocument/2006/relationships/hyperlink" Target="#__s31"/><Relationship Id="rId4" Type="http://schemas.openxmlformats.org/officeDocument/2006/relationships/hyperlink" Target="#__s4"/><Relationship Id="rId9" Type="http://schemas.openxmlformats.org/officeDocument/2006/relationships/hyperlink" Target="#__s9"/><Relationship Id="rId14" Type="http://schemas.openxmlformats.org/officeDocument/2006/relationships/hyperlink" Target="#__s14"/><Relationship Id="rId22" Type="http://schemas.openxmlformats.org/officeDocument/2006/relationships/hyperlink" Target="#__s22"/><Relationship Id="rId27" Type="http://schemas.openxmlformats.org/officeDocument/2006/relationships/hyperlink" Target="#__s27"/><Relationship Id="rId30" Type="http://schemas.openxmlformats.org/officeDocument/2006/relationships/hyperlink" Target="#__s30"/><Relationship Id="rId35" Type="http://schemas.openxmlformats.org/officeDocument/2006/relationships/hyperlink" Target="#__s35"/><Relationship Id="rId8" Type="http://schemas.openxmlformats.org/officeDocument/2006/relationships/hyperlink" Target="#__s8"/><Relationship Id="rId3" Type="http://schemas.openxmlformats.org/officeDocument/2006/relationships/hyperlink" Target="#__s3"/><Relationship Id="rId12" Type="http://schemas.openxmlformats.org/officeDocument/2006/relationships/hyperlink" Target="#__s12"/><Relationship Id="rId17" Type="http://schemas.openxmlformats.org/officeDocument/2006/relationships/hyperlink" Target="#__s17"/><Relationship Id="rId25" Type="http://schemas.openxmlformats.org/officeDocument/2006/relationships/hyperlink" Target="#__s25"/><Relationship Id="rId33" Type="http://schemas.openxmlformats.org/officeDocument/2006/relationships/hyperlink" Target="#__s33"/><Relationship Id="rId38" Type="http://schemas.openxmlformats.org/officeDocument/2006/relationships/hyperlink" Target="#__s38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jpeg"/><Relationship Id="rId2" Type="http://schemas.openxmlformats.org/officeDocument/2006/relationships/image" Target="../media/image3.png"/><Relationship Id="rId1" Type="http://schemas.openxmlformats.org/officeDocument/2006/relationships/hyperlink" Target="#MenuChange!A1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6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8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655320</xdr:colOff>
          <xdr:row>1</xdr:row>
          <xdr:rowOff>60960</xdr:rowOff>
        </xdr:from>
        <xdr:to>
          <xdr:col>11</xdr:col>
          <xdr:colOff>762000</xdr:colOff>
          <xdr:row>1</xdr:row>
          <xdr:rowOff>228600</xdr:rowOff>
        </xdr:to>
        <xdr:sp macro="" textlink="">
          <xdr:nvSpPr>
            <xdr:cNvPr id="116738" name="Drop Down 2" hidden="1">
              <a:extLst>
                <a:ext uri="{63B3BB69-23CF-44E3-9099-C40C66FF867C}">
                  <a14:compatExt spid="_x0000_s116738"/>
                </a:ext>
                <a:ext uri="{FF2B5EF4-FFF2-40B4-BE49-F238E27FC236}">
                  <a16:creationId xmlns:a16="http://schemas.microsoft.com/office/drawing/2014/main" id="{00000000-0008-0000-0100-000002C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4</xdr:col>
      <xdr:colOff>554294</xdr:colOff>
      <xdr:row>34</xdr:row>
      <xdr:rowOff>193331</xdr:rowOff>
    </xdr:from>
    <xdr:to>
      <xdr:col>7</xdr:col>
      <xdr:colOff>142617</xdr:colOff>
      <xdr:row>35</xdr:row>
      <xdr:rowOff>22581</xdr:rowOff>
    </xdr:to>
    <xdr:sp macro="" textlink="">
      <xdr:nvSpPr>
        <xdr:cNvPr id="41" name="ZoneTexte 2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/>
      </xdr:nvSpPr>
      <xdr:spPr>
        <a:xfrm>
          <a:off x="2725994" y="7079906"/>
          <a:ext cx="1874323" cy="21025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ctr"/>
          <a:r>
            <a:rPr lang="fr-CH" sz="800" b="0">
              <a:solidFill>
                <a:schemeClr val="bg1">
                  <a:lumMod val="50000"/>
                </a:schemeClr>
              </a:solidFill>
            </a:rPr>
            <a:t>(Lewin, 1936 &amp;  Kotter, 2006)</a:t>
          </a:r>
        </a:p>
      </xdr:txBody>
    </xdr:sp>
    <xdr:clientData/>
  </xdr:twoCellAnchor>
  <xdr:twoCellAnchor editAs="absolute">
    <xdr:from>
      <xdr:col>0</xdr:col>
      <xdr:colOff>448125</xdr:colOff>
      <xdr:row>1</xdr:row>
      <xdr:rowOff>57148</xdr:rowOff>
    </xdr:from>
    <xdr:to>
      <xdr:col>10</xdr:col>
      <xdr:colOff>370725</xdr:colOff>
      <xdr:row>35</xdr:row>
      <xdr:rowOff>109288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pSpPr/>
      </xdr:nvGrpSpPr>
      <xdr:grpSpPr>
        <a:xfrm>
          <a:off x="448125" y="636268"/>
          <a:ext cx="6552000" cy="6552000"/>
          <a:chOff x="448125" y="633411"/>
          <a:chExt cx="6480001" cy="6480003"/>
        </a:xfrm>
      </xdr:grpSpPr>
      <xdr:grpSp>
        <xdr:nvGrpSpPr>
          <xdr:cNvPr id="2" name="Gruppieren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GrpSpPr/>
        </xdr:nvGrpSpPr>
        <xdr:grpSpPr>
          <a:xfrm>
            <a:off x="448125" y="643934"/>
            <a:ext cx="6480001" cy="6469480"/>
            <a:chOff x="448125" y="646252"/>
            <a:chExt cx="6430060" cy="6422745"/>
          </a:xfrm>
        </xdr:grpSpPr>
        <xdr:sp macro="" textlink="">
          <xdr:nvSpPr>
            <xdr:cNvPr id="76" name="Freihandform 75">
              <a:extLst>
                <a:ext uri="{FF2B5EF4-FFF2-40B4-BE49-F238E27FC236}">
                  <a16:creationId xmlns:a16="http://schemas.microsoft.com/office/drawing/2014/main" id="{00000000-0008-0000-0100-00004C000000}"/>
                </a:ext>
              </a:extLst>
            </xdr:cNvPr>
            <xdr:cNvSpPr/>
          </xdr:nvSpPr>
          <xdr:spPr>
            <a:xfrm>
              <a:off x="654413" y="646252"/>
              <a:ext cx="6144768" cy="6144768"/>
            </a:xfrm>
            <a:custGeom>
              <a:avLst/>
              <a:gdLst>
                <a:gd name="connsiteX0" fmla="*/ 3072384 w 6144768"/>
                <a:gd name="connsiteY0" fmla="*/ 0 h 6144768"/>
                <a:gd name="connsiteX1" fmla="*/ 5474471 w 6144768"/>
                <a:gd name="connsiteY1" fmla="*/ 1156785 h 6144768"/>
                <a:gd name="connsiteX2" fmla="*/ 3072384 w 6144768"/>
                <a:gd name="connsiteY2" fmla="*/ 3072384 h 6144768"/>
                <a:gd name="connsiteX3" fmla="*/ 3072384 w 6144768"/>
                <a:gd name="connsiteY3" fmla="*/ 0 h 61447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6144768" h="6144768">
                  <a:moveTo>
                    <a:pt x="3072384" y="0"/>
                  </a:moveTo>
                  <a:cubicBezTo>
                    <a:pt x="4007387" y="0"/>
                    <a:pt x="4891507" y="425770"/>
                    <a:pt x="5474471" y="1156785"/>
                  </a:cubicBezTo>
                  <a:lnTo>
                    <a:pt x="3072384" y="3072384"/>
                  </a:lnTo>
                  <a:lnTo>
                    <a:pt x="3072384" y="0"/>
                  </a:lnTo>
                  <a:close/>
                </a:path>
              </a:pathLst>
            </a:custGeom>
            <a:solidFill>
              <a:schemeClr val="accent1">
                <a:lumMod val="75000"/>
              </a:schemeClr>
            </a:solidFill>
          </xdr:spPr>
          <xdr:style>
            <a:lnRef idx="2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2">
                <a:hueOff val="0"/>
                <a:satOff val="0"/>
                <a:lumOff val="0"/>
                <a:alphaOff val="0"/>
              </a:schemeClr>
            </a:fillRef>
            <a:effectRef idx="0">
              <a:schemeClr val="accent2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  <xdr:txBody>
            <a:bodyPr spcFirstLastPara="0" vert="horz" wrap="square" lIns="3247249" tIns="589635" rIns="1472579" bIns="4422801" numCol="1" spcCol="1270" anchor="ctr" anchorCtr="0">
              <a:noAutofit/>
            </a:bodyPr>
            <a:lstStyle/>
            <a:p>
              <a:pPr lvl="0" algn="ctr" defTabSz="6667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de-CH" sz="1500" kern="1200"/>
            </a:p>
          </xdr:txBody>
        </xdr:sp>
        <xdr:sp macro="" textlink="">
          <xdr:nvSpPr>
            <xdr:cNvPr id="77" name="Freihandform 76">
              <a:extLst>
                <a:ext uri="{FF2B5EF4-FFF2-40B4-BE49-F238E27FC236}">
                  <a16:creationId xmlns:a16="http://schemas.microsoft.com/office/drawing/2014/main" id="{00000000-0008-0000-0100-00004D000000}"/>
                </a:ext>
              </a:extLst>
            </xdr:cNvPr>
            <xdr:cNvSpPr/>
          </xdr:nvSpPr>
          <xdr:spPr>
            <a:xfrm>
              <a:off x="733417" y="745007"/>
              <a:ext cx="6144768" cy="6144768"/>
            </a:xfrm>
            <a:custGeom>
              <a:avLst/>
              <a:gdLst>
                <a:gd name="connsiteX0" fmla="*/ 5474471 w 6144768"/>
                <a:gd name="connsiteY0" fmla="*/ 1156785 h 6144768"/>
                <a:gd name="connsiteX1" fmla="*/ 6067737 w 6144768"/>
                <a:gd name="connsiteY1" fmla="*/ 3756053 h 6144768"/>
                <a:gd name="connsiteX2" fmla="*/ 3072384 w 6144768"/>
                <a:gd name="connsiteY2" fmla="*/ 3072384 h 6144768"/>
                <a:gd name="connsiteX3" fmla="*/ 5474471 w 6144768"/>
                <a:gd name="connsiteY3" fmla="*/ 1156785 h 61447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6144768" h="6144768">
                  <a:moveTo>
                    <a:pt x="5474471" y="1156785"/>
                  </a:moveTo>
                  <a:cubicBezTo>
                    <a:pt x="6057434" y="1887799"/>
                    <a:pt x="6275794" y="2844494"/>
                    <a:pt x="6067737" y="3756053"/>
                  </a:cubicBezTo>
                  <a:lnTo>
                    <a:pt x="3072384" y="3072384"/>
                  </a:lnTo>
                  <a:lnTo>
                    <a:pt x="5474471" y="1156785"/>
                  </a:lnTo>
                  <a:close/>
                </a:path>
              </a:pathLst>
            </a:custGeom>
            <a:solidFill>
              <a:schemeClr val="accent1">
                <a:lumMod val="75000"/>
              </a:schemeClr>
            </a:solidFill>
          </xdr:spPr>
          <xdr:style>
            <a:lnRef idx="2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2">
                <a:hueOff val="0"/>
                <a:satOff val="0"/>
                <a:lumOff val="0"/>
                <a:alphaOff val="0"/>
              </a:schemeClr>
            </a:fillRef>
            <a:effectRef idx="0">
              <a:schemeClr val="accent2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  <xdr:txBody>
            <a:bodyPr spcFirstLastPara="0" vert="horz" wrap="square" lIns="4192373" tIns="2246529" rIns="307999" bIns="2912211" numCol="1" spcCol="1270" anchor="ctr" anchorCtr="0">
              <a:noAutofit/>
            </a:bodyPr>
            <a:lstStyle/>
            <a:p>
              <a:pPr lvl="0" algn="ctr" defTabSz="6667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de-CH" sz="1500" kern="1200"/>
            </a:p>
          </xdr:txBody>
        </xdr:sp>
        <xdr:sp macro="" textlink="">
          <xdr:nvSpPr>
            <xdr:cNvPr id="78" name="Freihandform 77">
              <a:extLst>
                <a:ext uri="{FF2B5EF4-FFF2-40B4-BE49-F238E27FC236}">
                  <a16:creationId xmlns:a16="http://schemas.microsoft.com/office/drawing/2014/main" id="{00000000-0008-0000-0100-00004E000000}"/>
                </a:ext>
              </a:extLst>
            </xdr:cNvPr>
            <xdr:cNvSpPr/>
          </xdr:nvSpPr>
          <xdr:spPr>
            <a:xfrm>
              <a:off x="704888" y="869365"/>
              <a:ext cx="6144768" cy="6144768"/>
            </a:xfrm>
            <a:custGeom>
              <a:avLst/>
              <a:gdLst>
                <a:gd name="connsiteX0" fmla="*/ 6067737 w 6144768"/>
                <a:gd name="connsiteY0" fmla="*/ 3756053 h 6144768"/>
                <a:gd name="connsiteX1" fmla="*/ 4405441 w 6144768"/>
                <a:gd name="connsiteY1" fmla="*/ 5840506 h 6144768"/>
                <a:gd name="connsiteX2" fmla="*/ 3072384 w 6144768"/>
                <a:gd name="connsiteY2" fmla="*/ 3072384 h 6144768"/>
                <a:gd name="connsiteX3" fmla="*/ 6067737 w 6144768"/>
                <a:gd name="connsiteY3" fmla="*/ 3756053 h 61447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6144768" h="6144768">
                  <a:moveTo>
                    <a:pt x="6067737" y="3756053"/>
                  </a:moveTo>
                  <a:cubicBezTo>
                    <a:pt x="5859680" y="4667613"/>
                    <a:pt x="5247849" y="5434824"/>
                    <a:pt x="4405441" y="5840506"/>
                  </a:cubicBezTo>
                  <a:lnTo>
                    <a:pt x="3072384" y="3072384"/>
                  </a:lnTo>
                  <a:lnTo>
                    <a:pt x="6067737" y="3756053"/>
                  </a:lnTo>
                  <a:close/>
                </a:path>
              </a:pathLst>
            </a:custGeom>
            <a:solidFill>
              <a:schemeClr val="accent1">
                <a:lumMod val="75000"/>
              </a:schemeClr>
            </a:solidFill>
          </xdr:spPr>
          <xdr:style>
            <a:lnRef idx="2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2">
                <a:hueOff val="0"/>
                <a:satOff val="0"/>
                <a:lumOff val="0"/>
                <a:alphaOff val="0"/>
              </a:schemeClr>
            </a:fillRef>
            <a:effectRef idx="0">
              <a:schemeClr val="accent2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  <xdr:txBody>
            <a:bodyPr spcFirstLastPara="0" vert="horz" wrap="square" lIns="3964870" tIns="3658363" rIns="754958" bIns="1390649" numCol="1" spcCol="1270" anchor="ctr" anchorCtr="0">
              <a:noAutofit/>
            </a:bodyPr>
            <a:lstStyle/>
            <a:p>
              <a:pPr lvl="0" algn="ctr" defTabSz="6667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de-CH" sz="1500" kern="1200"/>
            </a:p>
          </xdr:txBody>
        </xdr:sp>
        <xdr:sp macro="" textlink="">
          <xdr:nvSpPr>
            <xdr:cNvPr id="79" name="Freihandform 78">
              <a:extLst>
                <a:ext uri="{FF2B5EF4-FFF2-40B4-BE49-F238E27FC236}">
                  <a16:creationId xmlns:a16="http://schemas.microsoft.com/office/drawing/2014/main" id="{00000000-0008-0000-0100-00004F000000}"/>
                </a:ext>
              </a:extLst>
            </xdr:cNvPr>
            <xdr:cNvSpPr/>
          </xdr:nvSpPr>
          <xdr:spPr>
            <a:xfrm>
              <a:off x="590771" y="924229"/>
              <a:ext cx="6144768" cy="6144768"/>
            </a:xfrm>
            <a:custGeom>
              <a:avLst/>
              <a:gdLst>
                <a:gd name="connsiteX0" fmla="*/ 4405375 w 6144768"/>
                <a:gd name="connsiteY0" fmla="*/ 5840539 h 6144768"/>
                <a:gd name="connsiteX1" fmla="*/ 1739326 w 6144768"/>
                <a:gd name="connsiteY1" fmla="*/ 5840506 h 6144768"/>
                <a:gd name="connsiteX2" fmla="*/ 3072384 w 6144768"/>
                <a:gd name="connsiteY2" fmla="*/ 3072384 h 6144768"/>
                <a:gd name="connsiteX3" fmla="*/ 4405375 w 6144768"/>
                <a:gd name="connsiteY3" fmla="*/ 5840539 h 61447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6144768" h="6144768">
                  <a:moveTo>
                    <a:pt x="4405375" y="5840539"/>
                  </a:moveTo>
                  <a:cubicBezTo>
                    <a:pt x="3562981" y="6246190"/>
                    <a:pt x="2581711" y="6246178"/>
                    <a:pt x="1739326" y="5840506"/>
                  </a:cubicBezTo>
                  <a:lnTo>
                    <a:pt x="3072384" y="3072384"/>
                  </a:lnTo>
                  <a:lnTo>
                    <a:pt x="4405375" y="5840539"/>
                  </a:lnTo>
                  <a:close/>
                </a:path>
              </a:pathLst>
            </a:custGeom>
            <a:solidFill>
              <a:schemeClr val="accent1">
                <a:lumMod val="75000"/>
              </a:schemeClr>
            </a:solidFill>
          </xdr:spPr>
          <xdr:style>
            <a:lnRef idx="2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2">
                <a:hueOff val="0"/>
                <a:satOff val="0"/>
                <a:lumOff val="0"/>
                <a:alphaOff val="0"/>
              </a:schemeClr>
            </a:fillRef>
            <a:effectRef idx="0">
              <a:schemeClr val="accent2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  <xdr:txBody>
            <a:bodyPr spcFirstLastPara="0" vert="horz" wrap="square" lIns="2378202" tIns="4847083" rIns="2378202" bIns="311657" numCol="1" spcCol="1270" anchor="ctr" anchorCtr="0">
              <a:noAutofit/>
            </a:bodyPr>
            <a:lstStyle/>
            <a:p>
              <a:pPr lvl="0" algn="ctr" defTabSz="6667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de-CH" sz="1500" kern="1200"/>
            </a:p>
          </xdr:txBody>
        </xdr:sp>
        <xdr:sp macro="" textlink="">
          <xdr:nvSpPr>
            <xdr:cNvPr id="80" name="Freihandform 79">
              <a:extLst>
                <a:ext uri="{FF2B5EF4-FFF2-40B4-BE49-F238E27FC236}">
                  <a16:creationId xmlns:a16="http://schemas.microsoft.com/office/drawing/2014/main" id="{00000000-0008-0000-0100-000050000000}"/>
                </a:ext>
              </a:extLst>
            </xdr:cNvPr>
            <xdr:cNvSpPr/>
          </xdr:nvSpPr>
          <xdr:spPr>
            <a:xfrm>
              <a:off x="476654" y="869365"/>
              <a:ext cx="6144768" cy="6144768"/>
            </a:xfrm>
            <a:custGeom>
              <a:avLst/>
              <a:gdLst>
                <a:gd name="connsiteX0" fmla="*/ 1739326 w 6144768"/>
                <a:gd name="connsiteY0" fmla="*/ 5840506 h 6144768"/>
                <a:gd name="connsiteX1" fmla="*/ 77031 w 6144768"/>
                <a:gd name="connsiteY1" fmla="*/ 3756052 h 6144768"/>
                <a:gd name="connsiteX2" fmla="*/ 3072384 w 6144768"/>
                <a:gd name="connsiteY2" fmla="*/ 3072384 h 6144768"/>
                <a:gd name="connsiteX3" fmla="*/ 1739326 w 6144768"/>
                <a:gd name="connsiteY3" fmla="*/ 5840506 h 61447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6144768" h="6144768">
                  <a:moveTo>
                    <a:pt x="1739326" y="5840506"/>
                  </a:moveTo>
                  <a:cubicBezTo>
                    <a:pt x="896918" y="5434823"/>
                    <a:pt x="285088" y="4667612"/>
                    <a:pt x="77031" y="3756052"/>
                  </a:cubicBezTo>
                  <a:lnTo>
                    <a:pt x="3072384" y="3072384"/>
                  </a:lnTo>
                  <a:lnTo>
                    <a:pt x="1739326" y="5840506"/>
                  </a:lnTo>
                  <a:close/>
                </a:path>
              </a:pathLst>
            </a:custGeom>
            <a:solidFill>
              <a:schemeClr val="accent1">
                <a:lumMod val="75000"/>
              </a:schemeClr>
            </a:solidFill>
          </xdr:spPr>
          <xdr:style>
            <a:lnRef idx="2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2">
                <a:hueOff val="0"/>
                <a:satOff val="0"/>
                <a:lumOff val="0"/>
                <a:alphaOff val="0"/>
              </a:schemeClr>
            </a:fillRef>
            <a:effectRef idx="0">
              <a:schemeClr val="accent2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  <xdr:txBody>
            <a:bodyPr spcFirstLastPara="0" vert="horz" wrap="square" lIns="754959" tIns="3658363" rIns="3964869" bIns="1390649" numCol="1" spcCol="1270" anchor="ctr" anchorCtr="0">
              <a:noAutofit/>
            </a:bodyPr>
            <a:lstStyle/>
            <a:p>
              <a:pPr lvl="0" algn="ctr" defTabSz="6667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de-CH" sz="1500" kern="1200"/>
            </a:p>
          </xdr:txBody>
        </xdr:sp>
        <xdr:sp macro="" textlink="">
          <xdr:nvSpPr>
            <xdr:cNvPr id="81" name="Freihandform 80">
              <a:extLst>
                <a:ext uri="{FF2B5EF4-FFF2-40B4-BE49-F238E27FC236}">
                  <a16:creationId xmlns:a16="http://schemas.microsoft.com/office/drawing/2014/main" id="{00000000-0008-0000-0100-000051000000}"/>
                </a:ext>
              </a:extLst>
            </xdr:cNvPr>
            <xdr:cNvSpPr/>
          </xdr:nvSpPr>
          <xdr:spPr>
            <a:xfrm>
              <a:off x="448125" y="745007"/>
              <a:ext cx="6144768" cy="6144768"/>
            </a:xfrm>
            <a:custGeom>
              <a:avLst/>
              <a:gdLst>
                <a:gd name="connsiteX0" fmla="*/ 77031 w 6144768"/>
                <a:gd name="connsiteY0" fmla="*/ 3756052 h 6144768"/>
                <a:gd name="connsiteX1" fmla="*/ 670297 w 6144768"/>
                <a:gd name="connsiteY1" fmla="*/ 1156786 h 6144768"/>
                <a:gd name="connsiteX2" fmla="*/ 3072384 w 6144768"/>
                <a:gd name="connsiteY2" fmla="*/ 3072384 h 6144768"/>
                <a:gd name="connsiteX3" fmla="*/ 77031 w 6144768"/>
                <a:gd name="connsiteY3" fmla="*/ 3756052 h 61447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6144768" h="6144768">
                  <a:moveTo>
                    <a:pt x="77031" y="3756052"/>
                  </a:moveTo>
                  <a:cubicBezTo>
                    <a:pt x="-131026" y="2844493"/>
                    <a:pt x="87334" y="1887799"/>
                    <a:pt x="670297" y="1156786"/>
                  </a:cubicBezTo>
                  <a:lnTo>
                    <a:pt x="3072384" y="3072384"/>
                  </a:lnTo>
                  <a:lnTo>
                    <a:pt x="77031" y="3756052"/>
                  </a:lnTo>
                  <a:close/>
                </a:path>
              </a:pathLst>
            </a:custGeom>
            <a:solidFill>
              <a:schemeClr val="accent1">
                <a:lumMod val="75000"/>
              </a:schemeClr>
            </a:solidFill>
          </xdr:spPr>
          <xdr:style>
            <a:lnRef idx="2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2">
                <a:hueOff val="0"/>
                <a:satOff val="0"/>
                <a:lumOff val="0"/>
                <a:alphaOff val="0"/>
              </a:schemeClr>
            </a:fillRef>
            <a:effectRef idx="0">
              <a:schemeClr val="accent2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  <xdr:txBody>
            <a:bodyPr spcFirstLastPara="0" vert="horz" wrap="square" lIns="308000" tIns="2246529" rIns="4192372" bIns="2912211" numCol="1" spcCol="1270" anchor="ctr" anchorCtr="0">
              <a:noAutofit/>
            </a:bodyPr>
            <a:lstStyle/>
            <a:p>
              <a:pPr lvl="0" algn="ctr" defTabSz="6667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de-CH" sz="1500" kern="1200"/>
            </a:p>
          </xdr:txBody>
        </xdr:sp>
        <xdr:sp macro="" textlink="">
          <xdr:nvSpPr>
            <xdr:cNvPr id="82" name="Freihandform 81">
              <a:extLst>
                <a:ext uri="{FF2B5EF4-FFF2-40B4-BE49-F238E27FC236}">
                  <a16:creationId xmlns:a16="http://schemas.microsoft.com/office/drawing/2014/main" id="{00000000-0008-0000-0100-000052000000}"/>
                </a:ext>
              </a:extLst>
            </xdr:cNvPr>
            <xdr:cNvSpPr/>
          </xdr:nvSpPr>
          <xdr:spPr>
            <a:xfrm>
              <a:off x="527129" y="646252"/>
              <a:ext cx="6144768" cy="6144768"/>
            </a:xfrm>
            <a:custGeom>
              <a:avLst/>
              <a:gdLst>
                <a:gd name="connsiteX0" fmla="*/ 670297 w 6144768"/>
                <a:gd name="connsiteY0" fmla="*/ 1156785 h 6144768"/>
                <a:gd name="connsiteX1" fmla="*/ 3072384 w 6144768"/>
                <a:gd name="connsiteY1" fmla="*/ 0 h 6144768"/>
                <a:gd name="connsiteX2" fmla="*/ 3072384 w 6144768"/>
                <a:gd name="connsiteY2" fmla="*/ 3072384 h 6144768"/>
                <a:gd name="connsiteX3" fmla="*/ 670297 w 6144768"/>
                <a:gd name="connsiteY3" fmla="*/ 1156785 h 614476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6144768" h="6144768">
                  <a:moveTo>
                    <a:pt x="670297" y="1156785"/>
                  </a:moveTo>
                  <a:cubicBezTo>
                    <a:pt x="1253261" y="425770"/>
                    <a:pt x="2137382" y="0"/>
                    <a:pt x="3072384" y="0"/>
                  </a:cubicBezTo>
                  <a:lnTo>
                    <a:pt x="3072384" y="3072384"/>
                  </a:lnTo>
                  <a:lnTo>
                    <a:pt x="670297" y="1156785"/>
                  </a:lnTo>
                  <a:close/>
                </a:path>
              </a:pathLst>
            </a:custGeom>
            <a:solidFill>
              <a:schemeClr val="accent1">
                <a:lumMod val="75000"/>
              </a:schemeClr>
            </a:solidFill>
          </xdr:spPr>
          <xdr:style>
            <a:lnRef idx="2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2">
                <a:hueOff val="0"/>
                <a:satOff val="0"/>
                <a:lumOff val="0"/>
                <a:alphaOff val="0"/>
              </a:schemeClr>
            </a:fillRef>
            <a:effectRef idx="0">
              <a:schemeClr val="accent2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  <xdr:txBody>
            <a:bodyPr spcFirstLastPara="0" vert="horz" wrap="square" lIns="1472580" tIns="589635" rIns="3247248" bIns="4422801" numCol="1" spcCol="1270" anchor="ctr" anchorCtr="0">
              <a:noAutofit/>
            </a:bodyPr>
            <a:lstStyle/>
            <a:p>
              <a:pPr lvl="0" algn="ctr" defTabSz="6667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de-CH" sz="1500" kern="1200"/>
            </a:p>
          </xdr:txBody>
        </xdr:sp>
      </xdr:grpSp>
      <xdr:grpSp>
        <xdr:nvGrpSpPr>
          <xdr:cNvPr id="36" name="Gruppieren 3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24000000}"/>
              </a:ext>
            </a:extLst>
          </xdr:cNvPr>
          <xdr:cNvGrpSpPr/>
        </xdr:nvGrpSpPr>
        <xdr:grpSpPr>
          <a:xfrm>
            <a:off x="6178232" y="633411"/>
            <a:ext cx="162694" cy="182162"/>
            <a:chOff x="8105775" y="571500"/>
            <a:chExt cx="172800" cy="172800"/>
          </a:xfrm>
        </xdr:grpSpPr>
        <xdr:sp macro="" textlink="">
          <xdr:nvSpPr>
            <xdr:cNvPr id="37" name="Rechteck 36">
              <a:extLst>
                <a:ext uri="{FF2B5EF4-FFF2-40B4-BE49-F238E27FC236}">
                  <a16:creationId xmlns:a16="http://schemas.microsoft.com/office/drawing/2014/main" id="{00000000-0008-0000-0100-000025000000}"/>
                </a:ext>
              </a:extLst>
            </xdr:cNvPr>
            <xdr:cNvSpPr>
              <a:spLocks noChangeAspect="1"/>
            </xdr:cNvSpPr>
          </xdr:nvSpPr>
          <xdr:spPr>
            <a:xfrm>
              <a:off x="8105775" y="571500"/>
              <a:ext cx="172800" cy="172800"/>
            </a:xfrm>
            <a:prstGeom prst="rect">
              <a:avLst/>
            </a:prstGeom>
            <a:ln/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38" name="Textfeld 37">
              <a:extLst>
                <a:ext uri="{FF2B5EF4-FFF2-40B4-BE49-F238E27FC236}">
                  <a16:creationId xmlns:a16="http://schemas.microsoft.com/office/drawing/2014/main" id="{00000000-0008-0000-0100-000026000000}"/>
                </a:ext>
              </a:extLst>
            </xdr:cNvPr>
            <xdr:cNvSpPr txBox="1"/>
          </xdr:nvSpPr>
          <xdr:spPr>
            <a:xfrm>
              <a:off x="8152998" y="584162"/>
              <a:ext cx="78355" cy="1474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de-CH" sz="1000" b="1">
                  <a:solidFill>
                    <a:schemeClr val="bg1"/>
                  </a:solidFill>
                  <a:latin typeface="Arial" pitchFamily="34" charset="0"/>
                  <a:cs typeface="Arial" pitchFamily="34" charset="0"/>
                </a:rPr>
                <a:t>?</a:t>
              </a:r>
            </a:p>
          </xdr:txBody>
        </xdr:sp>
      </xdr:grpSp>
      <xdr:grpSp>
        <xdr:nvGrpSpPr>
          <xdr:cNvPr id="172" name="Gruppieren 171">
            <a:extLst>
              <a:ext uri="{FF2B5EF4-FFF2-40B4-BE49-F238E27FC236}">
                <a16:creationId xmlns:a16="http://schemas.microsoft.com/office/drawing/2014/main" id="{00000000-0008-0000-0100-0000AC000000}"/>
              </a:ext>
            </a:extLst>
          </xdr:cNvPr>
          <xdr:cNvGrpSpPr/>
        </xdr:nvGrpSpPr>
        <xdr:grpSpPr>
          <a:xfrm>
            <a:off x="1913964" y="2081329"/>
            <a:ext cx="3700407" cy="3534602"/>
            <a:chOff x="2200275" y="2009775"/>
            <a:chExt cx="3644504" cy="3524399"/>
          </a:xfrm>
          <a:solidFill>
            <a:schemeClr val="tx1">
              <a:lumMod val="50000"/>
              <a:lumOff val="50000"/>
            </a:schemeClr>
          </a:solidFill>
        </xdr:grpSpPr>
        <xdr:grpSp>
          <xdr:nvGrpSpPr>
            <xdr:cNvPr id="91" name="Gruppieren 90">
              <a:extLst>
                <a:ext uri="{FF2B5EF4-FFF2-40B4-BE49-F238E27FC236}">
                  <a16:creationId xmlns:a16="http://schemas.microsoft.com/office/drawing/2014/main" id="{00000000-0008-0000-0100-00005B000000}"/>
                </a:ext>
              </a:extLst>
            </xdr:cNvPr>
            <xdr:cNvGrpSpPr/>
          </xdr:nvGrpSpPr>
          <xdr:grpSpPr>
            <a:xfrm>
              <a:off x="2222756" y="2066774"/>
              <a:ext cx="3471349" cy="3467400"/>
              <a:chOff x="2259268" y="2082898"/>
              <a:chExt cx="3471349" cy="3467400"/>
            </a:xfrm>
            <a:grpFill/>
          </xdr:grpSpPr>
          <xdr:sp macro="" textlink="">
            <xdr:nvSpPr>
              <xdr:cNvPr id="92" name="Freihandform 91">
                <a:extLst>
                  <a:ext uri="{FF2B5EF4-FFF2-40B4-BE49-F238E27FC236}">
                    <a16:creationId xmlns:a16="http://schemas.microsoft.com/office/drawing/2014/main" id="{00000000-0008-0000-0100-00005C000000}"/>
                  </a:ext>
                </a:extLst>
              </xdr:cNvPr>
              <xdr:cNvSpPr/>
            </xdr:nvSpPr>
            <xdr:spPr>
              <a:xfrm>
                <a:off x="2370636" y="2082898"/>
                <a:ext cx="3317330" cy="3317330"/>
              </a:xfrm>
              <a:custGeom>
                <a:avLst/>
                <a:gdLst>
                  <a:gd name="connsiteX0" fmla="*/ 1658665 w 3317330"/>
                  <a:gd name="connsiteY0" fmla="*/ 0 h 3317330"/>
                  <a:gd name="connsiteX1" fmla="*/ 2955462 w 3317330"/>
                  <a:gd name="connsiteY1" fmla="*/ 624505 h 3317330"/>
                  <a:gd name="connsiteX2" fmla="*/ 1658665 w 3317330"/>
                  <a:gd name="connsiteY2" fmla="*/ 1658665 h 3317330"/>
                  <a:gd name="connsiteX3" fmla="*/ 1658665 w 3317330"/>
                  <a:gd name="connsiteY3" fmla="*/ 0 h 331733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</a:cxnLst>
                <a:rect l="l" t="t" r="r" b="b"/>
                <a:pathLst>
                  <a:path w="3317330" h="3317330">
                    <a:moveTo>
                      <a:pt x="1658665" y="0"/>
                    </a:moveTo>
                    <a:cubicBezTo>
                      <a:pt x="2163438" y="0"/>
                      <a:pt x="2640741" y="229857"/>
                      <a:pt x="2955462" y="624505"/>
                    </a:cubicBezTo>
                    <a:lnTo>
                      <a:pt x="1658665" y="1658665"/>
                    </a:lnTo>
                    <a:lnTo>
                      <a:pt x="1658665" y="0"/>
                    </a:lnTo>
                    <a:close/>
                  </a:path>
                </a:pathLst>
              </a:custGeom>
              <a:grpFill/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4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4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754213" tIns="319468" rIns="796137" bIns="2388850" numCol="1" spcCol="1270" anchor="ctr" anchorCtr="0">
                <a:noAutofit/>
              </a:bodyPr>
              <a:lstStyle/>
              <a:p>
                <a:pPr lvl="0" algn="ctr" defTabSz="4000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endParaRPr lang="de-CH" sz="1400" kern="1200"/>
              </a:p>
            </xdr:txBody>
          </xdr:sp>
          <xdr:sp macro="" textlink="">
            <xdr:nvSpPr>
              <xdr:cNvPr id="93" name="Freihandform 92">
                <a:extLst>
                  <a:ext uri="{FF2B5EF4-FFF2-40B4-BE49-F238E27FC236}">
                    <a16:creationId xmlns:a16="http://schemas.microsoft.com/office/drawing/2014/main" id="{00000000-0008-0000-0100-00005D000000}"/>
                  </a:ext>
                </a:extLst>
              </xdr:cNvPr>
              <xdr:cNvSpPr/>
            </xdr:nvSpPr>
            <xdr:spPr>
              <a:xfrm>
                <a:off x="2413287" y="2136212"/>
                <a:ext cx="3317330" cy="3317330"/>
              </a:xfrm>
              <a:custGeom>
                <a:avLst/>
                <a:gdLst>
                  <a:gd name="connsiteX0" fmla="*/ 2955462 w 3317330"/>
                  <a:gd name="connsiteY0" fmla="*/ 624505 h 3317330"/>
                  <a:gd name="connsiteX1" fmla="*/ 3275744 w 3317330"/>
                  <a:gd name="connsiteY1" fmla="*/ 2027752 h 3317330"/>
                  <a:gd name="connsiteX2" fmla="*/ 1658665 w 3317330"/>
                  <a:gd name="connsiteY2" fmla="*/ 1658665 h 3317330"/>
                  <a:gd name="connsiteX3" fmla="*/ 2955462 w 3317330"/>
                  <a:gd name="connsiteY3" fmla="*/ 624505 h 331733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</a:cxnLst>
                <a:rect l="l" t="t" r="r" b="b"/>
                <a:pathLst>
                  <a:path w="3317330" h="3317330">
                    <a:moveTo>
                      <a:pt x="2955462" y="624505"/>
                    </a:moveTo>
                    <a:cubicBezTo>
                      <a:pt x="3270182" y="1019152"/>
                      <a:pt x="3388066" y="1535636"/>
                      <a:pt x="3275744" y="2027752"/>
                    </a:cubicBezTo>
                    <a:lnTo>
                      <a:pt x="1658665" y="1658665"/>
                    </a:lnTo>
                    <a:lnTo>
                      <a:pt x="2955462" y="624505"/>
                    </a:lnTo>
                    <a:close/>
                  </a:path>
                </a:pathLst>
              </a:custGeom>
              <a:grpFill/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4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4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264451" tIns="1213962" rIns="167423" bIns="1573340" numCol="1" spcCol="1270" anchor="ctr" anchorCtr="0">
                <a:noAutofit/>
              </a:bodyPr>
              <a:lstStyle/>
              <a:p>
                <a:pPr lvl="0" algn="ctr" defTabSz="4000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endParaRPr lang="de-CH" sz="1400" kern="1200"/>
              </a:p>
            </xdr:txBody>
          </xdr:sp>
          <xdr:sp macro="" textlink="">
            <xdr:nvSpPr>
              <xdr:cNvPr id="94" name="Freihandform 93">
                <a:extLst>
                  <a:ext uri="{FF2B5EF4-FFF2-40B4-BE49-F238E27FC236}">
                    <a16:creationId xmlns:a16="http://schemas.microsoft.com/office/drawing/2014/main" id="{00000000-0008-0000-0100-00005E000000}"/>
                  </a:ext>
                </a:extLst>
              </xdr:cNvPr>
              <xdr:cNvSpPr/>
            </xdr:nvSpPr>
            <xdr:spPr>
              <a:xfrm>
                <a:off x="2397885" y="2203349"/>
                <a:ext cx="3317330" cy="3317330"/>
              </a:xfrm>
              <a:custGeom>
                <a:avLst/>
                <a:gdLst>
                  <a:gd name="connsiteX0" fmla="*/ 3275744 w 3317330"/>
                  <a:gd name="connsiteY0" fmla="*/ 2027752 h 3317330"/>
                  <a:gd name="connsiteX1" fmla="*/ 2378333 w 3317330"/>
                  <a:gd name="connsiteY1" fmla="*/ 3153070 h 3317330"/>
                  <a:gd name="connsiteX2" fmla="*/ 1658665 w 3317330"/>
                  <a:gd name="connsiteY2" fmla="*/ 1658665 h 3317330"/>
                  <a:gd name="connsiteX3" fmla="*/ 3275744 w 3317330"/>
                  <a:gd name="connsiteY3" fmla="*/ 2027752 h 331733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</a:cxnLst>
                <a:rect l="l" t="t" r="r" b="b"/>
                <a:pathLst>
                  <a:path w="3317330" h="3317330">
                    <a:moveTo>
                      <a:pt x="3275744" y="2027752"/>
                    </a:moveTo>
                    <a:cubicBezTo>
                      <a:pt x="3163422" y="2519869"/>
                      <a:pt x="2833117" y="2934057"/>
                      <a:pt x="2378333" y="3153070"/>
                    </a:cubicBezTo>
                    <a:lnTo>
                      <a:pt x="1658665" y="1658665"/>
                    </a:lnTo>
                    <a:lnTo>
                      <a:pt x="3275744" y="2027752"/>
                    </a:lnTo>
                    <a:close/>
                  </a:path>
                </a:pathLst>
              </a:custGeom>
              <a:grpFill/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4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4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141630" tIns="1976158" rIns="408720" bIns="751906" numCol="1" spcCol="1270" anchor="ctr" anchorCtr="0">
                <a:noAutofit/>
              </a:bodyPr>
              <a:lstStyle/>
              <a:p>
                <a:pPr lvl="0" algn="ctr" defTabSz="4000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endParaRPr lang="de-CH" sz="1400" kern="1200"/>
              </a:p>
            </xdr:txBody>
          </xdr:sp>
          <xdr:sp macro="" textlink="">
            <xdr:nvSpPr>
              <xdr:cNvPr id="95" name="Freihandform 94">
                <a:extLst>
                  <a:ext uri="{FF2B5EF4-FFF2-40B4-BE49-F238E27FC236}">
                    <a16:creationId xmlns:a16="http://schemas.microsoft.com/office/drawing/2014/main" id="{00000000-0008-0000-0100-00005F000000}"/>
                  </a:ext>
                </a:extLst>
              </xdr:cNvPr>
              <xdr:cNvSpPr/>
            </xdr:nvSpPr>
            <xdr:spPr>
              <a:xfrm>
                <a:off x="2336278" y="2232968"/>
                <a:ext cx="3317330" cy="3317330"/>
              </a:xfrm>
              <a:custGeom>
                <a:avLst/>
                <a:gdLst>
                  <a:gd name="connsiteX0" fmla="*/ 2378297 w 3317330"/>
                  <a:gd name="connsiteY0" fmla="*/ 3153088 h 3317330"/>
                  <a:gd name="connsiteX1" fmla="*/ 938997 w 3317330"/>
                  <a:gd name="connsiteY1" fmla="*/ 3153070 h 3317330"/>
                  <a:gd name="connsiteX2" fmla="*/ 1658665 w 3317330"/>
                  <a:gd name="connsiteY2" fmla="*/ 1658665 h 3317330"/>
                  <a:gd name="connsiteX3" fmla="*/ 2378297 w 3317330"/>
                  <a:gd name="connsiteY3" fmla="*/ 3153088 h 331733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</a:cxnLst>
                <a:rect l="l" t="t" r="r" b="b"/>
                <a:pathLst>
                  <a:path w="3317330" h="3317330">
                    <a:moveTo>
                      <a:pt x="2378297" y="3153088"/>
                    </a:moveTo>
                    <a:cubicBezTo>
                      <a:pt x="1923520" y="3372084"/>
                      <a:pt x="1393769" y="3372077"/>
                      <a:pt x="938997" y="3153070"/>
                    </a:cubicBezTo>
                    <a:lnTo>
                      <a:pt x="1658665" y="1658665"/>
                    </a:lnTo>
                    <a:lnTo>
                      <a:pt x="2378297" y="3153088"/>
                    </a:lnTo>
                    <a:close/>
                  </a:path>
                </a:pathLst>
              </a:custGeom>
              <a:grpFill/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4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4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285048" tIns="2617904" rIns="1285048" bIns="169398" numCol="1" spcCol="1270" anchor="ctr" anchorCtr="0">
                <a:noAutofit/>
              </a:bodyPr>
              <a:lstStyle/>
              <a:p>
                <a:pPr lvl="0" algn="ctr" defTabSz="4000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endParaRPr lang="de-CH" sz="1400" kern="1200"/>
              </a:p>
            </xdr:txBody>
          </xdr:sp>
          <xdr:sp macro="" textlink="">
            <xdr:nvSpPr>
              <xdr:cNvPr id="96" name="Freihandform 95">
                <a:extLst>
                  <a:ext uri="{FF2B5EF4-FFF2-40B4-BE49-F238E27FC236}">
                    <a16:creationId xmlns:a16="http://schemas.microsoft.com/office/drawing/2014/main" id="{00000000-0008-0000-0100-000060000000}"/>
                  </a:ext>
                </a:extLst>
              </xdr:cNvPr>
              <xdr:cNvSpPr/>
            </xdr:nvSpPr>
            <xdr:spPr>
              <a:xfrm>
                <a:off x="2274670" y="2203349"/>
                <a:ext cx="3317330" cy="3317330"/>
              </a:xfrm>
              <a:custGeom>
                <a:avLst/>
                <a:gdLst>
                  <a:gd name="connsiteX0" fmla="*/ 938997 w 3317330"/>
                  <a:gd name="connsiteY0" fmla="*/ 3153070 h 3317330"/>
                  <a:gd name="connsiteX1" fmla="*/ 41586 w 3317330"/>
                  <a:gd name="connsiteY1" fmla="*/ 2027751 h 3317330"/>
                  <a:gd name="connsiteX2" fmla="*/ 1658665 w 3317330"/>
                  <a:gd name="connsiteY2" fmla="*/ 1658665 h 3317330"/>
                  <a:gd name="connsiteX3" fmla="*/ 938997 w 3317330"/>
                  <a:gd name="connsiteY3" fmla="*/ 3153070 h 331733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</a:cxnLst>
                <a:rect l="l" t="t" r="r" b="b"/>
                <a:pathLst>
                  <a:path w="3317330" h="3317330">
                    <a:moveTo>
                      <a:pt x="938997" y="3153070"/>
                    </a:moveTo>
                    <a:cubicBezTo>
                      <a:pt x="484212" y="2934057"/>
                      <a:pt x="153908" y="2519868"/>
                      <a:pt x="41586" y="2027751"/>
                    </a:cubicBezTo>
                    <a:lnTo>
                      <a:pt x="1658665" y="1658665"/>
                    </a:lnTo>
                    <a:lnTo>
                      <a:pt x="938997" y="3153070"/>
                    </a:lnTo>
                    <a:close/>
                  </a:path>
                </a:pathLst>
              </a:custGeom>
              <a:grpFill/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4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4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408720" tIns="1976158" rIns="2141630" bIns="751906" numCol="1" spcCol="1270" anchor="ctr" anchorCtr="0">
                <a:noAutofit/>
              </a:bodyPr>
              <a:lstStyle/>
              <a:p>
                <a:pPr lvl="0" algn="ctr" defTabSz="4000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endParaRPr lang="de-CH" sz="1400" kern="1200"/>
              </a:p>
            </xdr:txBody>
          </xdr:sp>
          <xdr:sp macro="" textlink="">
            <xdr:nvSpPr>
              <xdr:cNvPr id="97" name="Freihandform 96">
                <a:extLst>
                  <a:ext uri="{FF2B5EF4-FFF2-40B4-BE49-F238E27FC236}">
                    <a16:creationId xmlns:a16="http://schemas.microsoft.com/office/drawing/2014/main" id="{00000000-0008-0000-0100-000061000000}"/>
                  </a:ext>
                </a:extLst>
              </xdr:cNvPr>
              <xdr:cNvSpPr/>
            </xdr:nvSpPr>
            <xdr:spPr>
              <a:xfrm>
                <a:off x="2259268" y="2136212"/>
                <a:ext cx="3317330" cy="3317330"/>
              </a:xfrm>
              <a:custGeom>
                <a:avLst/>
                <a:gdLst>
                  <a:gd name="connsiteX0" fmla="*/ 41586 w 3317330"/>
                  <a:gd name="connsiteY0" fmla="*/ 2027751 h 3317330"/>
                  <a:gd name="connsiteX1" fmla="*/ 361868 w 3317330"/>
                  <a:gd name="connsiteY1" fmla="*/ 624504 h 3317330"/>
                  <a:gd name="connsiteX2" fmla="*/ 1658665 w 3317330"/>
                  <a:gd name="connsiteY2" fmla="*/ 1658665 h 3317330"/>
                  <a:gd name="connsiteX3" fmla="*/ 41586 w 3317330"/>
                  <a:gd name="connsiteY3" fmla="*/ 2027751 h 331733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</a:cxnLst>
                <a:rect l="l" t="t" r="r" b="b"/>
                <a:pathLst>
                  <a:path w="3317330" h="3317330">
                    <a:moveTo>
                      <a:pt x="41586" y="2027751"/>
                    </a:moveTo>
                    <a:cubicBezTo>
                      <a:pt x="-70736" y="1535635"/>
                      <a:pt x="47148" y="1019151"/>
                      <a:pt x="361868" y="624504"/>
                    </a:cubicBezTo>
                    <a:lnTo>
                      <a:pt x="1658665" y="1658665"/>
                    </a:lnTo>
                    <a:lnTo>
                      <a:pt x="41586" y="2027751"/>
                    </a:lnTo>
                    <a:close/>
                  </a:path>
                </a:pathLst>
              </a:custGeom>
              <a:grpFill/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4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4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7424" tIns="1213962" rIns="2264450" bIns="1573340" numCol="1" spcCol="1270" anchor="ctr" anchorCtr="0">
                <a:noAutofit/>
              </a:bodyPr>
              <a:lstStyle/>
              <a:p>
                <a:pPr lvl="0" algn="ctr" defTabSz="4000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endParaRPr lang="de-CH" sz="1400" kern="1200"/>
              </a:p>
            </xdr:txBody>
          </xdr:sp>
          <xdr:sp macro="" textlink="">
            <xdr:nvSpPr>
              <xdr:cNvPr id="98" name="Freihandform 97">
                <a:extLst>
                  <a:ext uri="{FF2B5EF4-FFF2-40B4-BE49-F238E27FC236}">
                    <a16:creationId xmlns:a16="http://schemas.microsoft.com/office/drawing/2014/main" id="{00000000-0008-0000-0100-000062000000}"/>
                  </a:ext>
                </a:extLst>
              </xdr:cNvPr>
              <xdr:cNvSpPr/>
            </xdr:nvSpPr>
            <xdr:spPr>
              <a:xfrm>
                <a:off x="2301920" y="2082898"/>
                <a:ext cx="3317330" cy="3317330"/>
              </a:xfrm>
              <a:custGeom>
                <a:avLst/>
                <a:gdLst>
                  <a:gd name="connsiteX0" fmla="*/ 361868 w 3317330"/>
                  <a:gd name="connsiteY0" fmla="*/ 624505 h 3317330"/>
                  <a:gd name="connsiteX1" fmla="*/ 1658665 w 3317330"/>
                  <a:gd name="connsiteY1" fmla="*/ 0 h 3317330"/>
                  <a:gd name="connsiteX2" fmla="*/ 1658665 w 3317330"/>
                  <a:gd name="connsiteY2" fmla="*/ 1658665 h 3317330"/>
                  <a:gd name="connsiteX3" fmla="*/ 361868 w 3317330"/>
                  <a:gd name="connsiteY3" fmla="*/ 624505 h 331733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</a:cxnLst>
                <a:rect l="l" t="t" r="r" b="b"/>
                <a:pathLst>
                  <a:path w="3317330" h="3317330">
                    <a:moveTo>
                      <a:pt x="361868" y="624505"/>
                    </a:moveTo>
                    <a:cubicBezTo>
                      <a:pt x="676589" y="229857"/>
                      <a:pt x="1153892" y="0"/>
                      <a:pt x="1658665" y="0"/>
                    </a:cubicBezTo>
                    <a:lnTo>
                      <a:pt x="1658665" y="1658665"/>
                    </a:lnTo>
                    <a:lnTo>
                      <a:pt x="361868" y="624505"/>
                    </a:lnTo>
                    <a:close/>
                  </a:path>
                </a:pathLst>
              </a:custGeom>
              <a:grpFill/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4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4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796136" tIns="319468" rIns="1754214" bIns="2388850" numCol="1" spcCol="1270" anchor="ctr" anchorCtr="0">
                <a:noAutofit/>
              </a:bodyPr>
              <a:lstStyle/>
              <a:p>
                <a:pPr lvl="0" algn="ctr" defTabSz="4000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endParaRPr lang="de-CH" sz="1400" kern="1200"/>
              </a:p>
            </xdr:txBody>
          </xdr:sp>
        </xdr:grpSp>
        <xdr:cxnSp macro="">
          <xdr:nvCxnSpPr>
            <xdr:cNvPr id="133" name="Gerader Verbinder 132">
              <a:extLst>
                <a:ext uri="{FF2B5EF4-FFF2-40B4-BE49-F238E27FC236}">
                  <a16:creationId xmlns:a16="http://schemas.microsoft.com/office/drawing/2014/main" id="{00000000-0008-0000-0100-000085000000}"/>
                </a:ext>
              </a:extLst>
            </xdr:cNvPr>
            <xdr:cNvCxnSpPr/>
          </xdr:nvCxnSpPr>
          <xdr:spPr>
            <a:xfrm>
              <a:off x="3958430" y="2009775"/>
              <a:ext cx="0" cy="771525"/>
            </a:xfrm>
            <a:prstGeom prst="line">
              <a:avLst/>
            </a:prstGeom>
            <a:grpFill/>
            <a:ln w="149225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7" name="Gerader Verbinder 136">
              <a:extLst>
                <a:ext uri="{FF2B5EF4-FFF2-40B4-BE49-F238E27FC236}">
                  <a16:creationId xmlns:a16="http://schemas.microsoft.com/office/drawing/2014/main" id="{00000000-0008-0000-0100-000089000000}"/>
                </a:ext>
              </a:extLst>
            </xdr:cNvPr>
            <xdr:cNvCxnSpPr/>
          </xdr:nvCxnSpPr>
          <xdr:spPr>
            <a:xfrm flipH="1">
              <a:off x="4747798" y="2541520"/>
              <a:ext cx="764559" cy="593594"/>
            </a:xfrm>
            <a:prstGeom prst="line">
              <a:avLst/>
            </a:prstGeom>
            <a:grpFill/>
            <a:ln w="149225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41" name="Gerader Verbinder 140">
              <a:extLst>
                <a:ext uri="{FF2B5EF4-FFF2-40B4-BE49-F238E27FC236}">
                  <a16:creationId xmlns:a16="http://schemas.microsoft.com/office/drawing/2014/main" id="{00000000-0008-0000-0100-00008D000000}"/>
                </a:ext>
              </a:extLst>
            </xdr:cNvPr>
            <xdr:cNvCxnSpPr/>
          </xdr:nvCxnSpPr>
          <xdr:spPr>
            <a:xfrm flipH="1" flipV="1">
              <a:off x="4957762" y="4043695"/>
              <a:ext cx="887017" cy="196455"/>
            </a:xfrm>
            <a:prstGeom prst="line">
              <a:avLst/>
            </a:prstGeom>
            <a:grpFill/>
            <a:ln w="149225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45" name="Gerader Verbinder 144">
              <a:extLst>
                <a:ext uri="{FF2B5EF4-FFF2-40B4-BE49-F238E27FC236}">
                  <a16:creationId xmlns:a16="http://schemas.microsoft.com/office/drawing/2014/main" id="{00000000-0008-0000-0100-000091000000}"/>
                </a:ext>
              </a:extLst>
            </xdr:cNvPr>
            <xdr:cNvCxnSpPr/>
          </xdr:nvCxnSpPr>
          <xdr:spPr>
            <a:xfrm flipH="1" flipV="1">
              <a:off x="4410075" y="4727971"/>
              <a:ext cx="375046" cy="785813"/>
            </a:xfrm>
            <a:prstGeom prst="line">
              <a:avLst/>
            </a:prstGeom>
            <a:grpFill/>
            <a:ln w="149225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49" name="Gerader Verbinder 148">
              <a:extLst>
                <a:ext uri="{FF2B5EF4-FFF2-40B4-BE49-F238E27FC236}">
                  <a16:creationId xmlns:a16="http://schemas.microsoft.com/office/drawing/2014/main" id="{00000000-0008-0000-0100-000095000000}"/>
                </a:ext>
              </a:extLst>
            </xdr:cNvPr>
            <xdr:cNvCxnSpPr/>
          </xdr:nvCxnSpPr>
          <xdr:spPr>
            <a:xfrm flipV="1">
              <a:off x="3147433" y="4722309"/>
              <a:ext cx="371707" cy="762000"/>
            </a:xfrm>
            <a:prstGeom prst="line">
              <a:avLst/>
            </a:prstGeom>
            <a:grpFill/>
            <a:ln w="149225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6" name="Gerader Verbinder 155">
              <a:extLst>
                <a:ext uri="{FF2B5EF4-FFF2-40B4-BE49-F238E27FC236}">
                  <a16:creationId xmlns:a16="http://schemas.microsoft.com/office/drawing/2014/main" id="{00000000-0008-0000-0100-00009C000000}"/>
                </a:ext>
              </a:extLst>
            </xdr:cNvPr>
            <xdr:cNvCxnSpPr/>
          </xdr:nvCxnSpPr>
          <xdr:spPr>
            <a:xfrm>
              <a:off x="2534115" y="2654687"/>
              <a:ext cx="617963" cy="497159"/>
            </a:xfrm>
            <a:prstGeom prst="line">
              <a:avLst/>
            </a:prstGeom>
            <a:grpFill/>
            <a:ln w="149225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9" name="Gerader Verbinder 168">
              <a:extLst>
                <a:ext uri="{FF2B5EF4-FFF2-40B4-BE49-F238E27FC236}">
                  <a16:creationId xmlns:a16="http://schemas.microsoft.com/office/drawing/2014/main" id="{00000000-0008-0000-0100-0000A9000000}"/>
                </a:ext>
              </a:extLst>
            </xdr:cNvPr>
            <xdr:cNvCxnSpPr/>
          </xdr:nvCxnSpPr>
          <xdr:spPr>
            <a:xfrm flipV="1">
              <a:off x="2200275" y="4019550"/>
              <a:ext cx="752475" cy="171451"/>
            </a:xfrm>
            <a:prstGeom prst="line">
              <a:avLst/>
            </a:prstGeom>
            <a:grpFill/>
            <a:ln w="149225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' '!A7">
        <xdr:nvSpPr>
          <xdr:cNvPr id="116" name="Textfeld 115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100-000074000000}"/>
              </a:ext>
            </a:extLst>
          </xdr:cNvPr>
          <xdr:cNvSpPr txBox="1"/>
        </xdr:nvSpPr>
        <xdr:spPr>
          <a:xfrm>
            <a:off x="5482926" y="2697135"/>
            <a:ext cx="1345484" cy="106104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indent="0" algn="ctr" eaLnBrk="1" fontAlgn="auto" latinLnBrk="0" hangingPunct="1"/>
            <a:fld id="{C7A695DF-3F30-4E9D-AA22-28BEC60EC04F}" type="TxLink">
              <a:rPr lang="en-US" sz="15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indent="0" algn="ctr" eaLnBrk="1" fontAlgn="auto" latinLnBrk="0" hangingPunct="1"/>
              <a:t>2. 
Führungs-koalitionen bilden</a:t>
            </a:fld>
            <a:endParaRPr lang="de-CH" sz="15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6">
        <xdr:nvSpPr>
          <xdr:cNvPr id="118" name="Textfeld 1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100-000076000000}"/>
              </a:ext>
            </a:extLst>
          </xdr:cNvPr>
          <xdr:cNvSpPr txBox="1"/>
        </xdr:nvSpPr>
        <xdr:spPr>
          <a:xfrm>
            <a:off x="4003211" y="990159"/>
            <a:ext cx="1493456" cy="106104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indent="0" algn="ctr" eaLnBrk="1" fontAlgn="auto" latinLnBrk="0" hangingPunct="1"/>
            <a:fld id="{F9FFBDB5-B46E-471C-8970-9A7D8B57EEA7}" type="TxLink">
              <a:rPr lang="en-US" sz="15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indent="0" algn="ctr" eaLnBrk="1" fontAlgn="auto" latinLnBrk="0" hangingPunct="1"/>
              <a:t>1. 
Dringlichkeit erzeugen</a:t>
            </a:fld>
            <a:endParaRPr lang="de-CH" sz="15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8">
        <xdr:nvSpPr>
          <xdr:cNvPr id="119" name="Textfeld 118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100-000077000000}"/>
              </a:ext>
            </a:extLst>
          </xdr:cNvPr>
          <xdr:cNvSpPr txBox="1"/>
        </xdr:nvSpPr>
        <xdr:spPr>
          <a:xfrm>
            <a:off x="4796877" y="4645096"/>
            <a:ext cx="1762494" cy="133215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indent="0" algn="ctr" eaLnBrk="1" fontAlgn="auto" latinLnBrk="0" hangingPunct="1"/>
            <a:fld id="{06AC7C60-0661-4B53-9C85-E88BC65F6780}" type="TxLink">
              <a:rPr lang="en-US" sz="15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indent="0" algn="ctr" eaLnBrk="1" fontAlgn="auto" latinLnBrk="0" hangingPunct="1"/>
              <a:t>3. 
Vision &amp; Strategie entwickeln und kommunizieren</a:t>
            </a:fld>
            <a:endParaRPr lang="de-CH" sz="15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9">
        <xdr:nvSpPr>
          <xdr:cNvPr id="120" name="Textfeld 119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100-000078000000}"/>
              </a:ext>
            </a:extLst>
          </xdr:cNvPr>
          <xdr:cNvSpPr txBox="1"/>
        </xdr:nvSpPr>
        <xdr:spPr>
          <a:xfrm>
            <a:off x="2869053" y="5753626"/>
            <a:ext cx="1578361" cy="107711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indent="0" algn="ctr" eaLnBrk="1" fontAlgn="auto" latinLnBrk="0" hangingPunct="1"/>
            <a:fld id="{55CF7B85-D044-4956-8372-46A458504A06}" type="TxLink">
              <a:rPr lang="en-US" sz="15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indent="0" algn="ctr" eaLnBrk="1" fontAlgn="auto" latinLnBrk="0" hangingPunct="1"/>
              <a:t>4. 
Umsetzungsbasis schaffen</a:t>
            </a:fld>
            <a:endParaRPr lang="de-CH" sz="15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10">
        <xdr:nvSpPr>
          <xdr:cNvPr id="121" name="Textfeld 120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100-000079000000}"/>
              </a:ext>
            </a:extLst>
          </xdr:cNvPr>
          <xdr:cNvSpPr txBox="1"/>
        </xdr:nvSpPr>
        <xdr:spPr>
          <a:xfrm>
            <a:off x="981007" y="4815793"/>
            <a:ext cx="1493456" cy="107108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indent="0" algn="ctr" eaLnBrk="1" fontAlgn="auto" latinLnBrk="0" hangingPunct="1"/>
            <a:fld id="{A6EB9BD6-5D62-4D87-B9EC-04A1890F4CF2}" type="TxLink">
              <a:rPr lang="en-US" sz="15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indent="0" algn="ctr" eaLnBrk="1" fontAlgn="auto" latinLnBrk="0" hangingPunct="1"/>
              <a:t>5. 
Kurzfristige Erfolge ermöglichen</a:t>
            </a:fld>
            <a:endParaRPr lang="de-CH" sz="15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11">
        <xdr:nvSpPr>
          <xdr:cNvPr id="122" name="Textfeld 121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100-00007A000000}"/>
              </a:ext>
            </a:extLst>
          </xdr:cNvPr>
          <xdr:cNvSpPr txBox="1"/>
        </xdr:nvSpPr>
        <xdr:spPr>
          <a:xfrm>
            <a:off x="555029" y="2707176"/>
            <a:ext cx="1457584" cy="106104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indent="0" algn="ctr" eaLnBrk="1" fontAlgn="auto" latinLnBrk="0" hangingPunct="1"/>
            <a:fld id="{A33E076A-926F-4BD9-A509-FF58CF421EC9}" type="TxLink">
              <a:rPr lang="en-US" sz="15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indent="0" algn="ctr" eaLnBrk="1" fontAlgn="auto" latinLnBrk="0" hangingPunct="1"/>
              <a:t>6. 
Fortschritte konsolidieren &amp; fortfahren</a:t>
            </a:fld>
            <a:endParaRPr lang="de-CH" sz="15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12">
        <xdr:nvSpPr>
          <xdr:cNvPr id="123" name="Textfeld 122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100-00007B000000}"/>
              </a:ext>
            </a:extLst>
          </xdr:cNvPr>
          <xdr:cNvSpPr txBox="1"/>
        </xdr:nvSpPr>
        <xdr:spPr>
          <a:xfrm>
            <a:off x="1855383" y="990159"/>
            <a:ext cx="1493455" cy="106104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indent="0" algn="ctr" eaLnBrk="1" fontAlgn="auto" latinLnBrk="0" hangingPunct="1"/>
            <a:fld id="{9E3D3D0E-DE11-4E50-8B25-DA49A143D385}" type="TxLink">
              <a:rPr lang="en-US" sz="15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indent="0" algn="ctr" eaLnBrk="1" fontAlgn="auto" latinLnBrk="0" hangingPunct="1"/>
              <a:t>7. 
Verhalten in Kultur verankern</a:t>
            </a:fld>
            <a:endParaRPr lang="de-CH" sz="15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13">
        <xdr:nvSpPr>
          <xdr:cNvPr id="124" name="Textfeld 123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100-00007C000000}"/>
              </a:ext>
            </a:extLst>
          </xdr:cNvPr>
          <xdr:cNvSpPr txBox="1"/>
        </xdr:nvSpPr>
        <xdr:spPr>
          <a:xfrm>
            <a:off x="3761076" y="2203830"/>
            <a:ext cx="1086021" cy="79123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indent="0" algn="ctr"/>
            <a:fld id="{79C9BBFB-B3A2-4C32-81F7-06074741B7ED}" type="TxLink">
              <a:rPr lang="en-US" sz="13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indent="0" algn="ctr"/>
              <a:t>Leadership</a:t>
            </a:fld>
            <a:endParaRPr lang="de-CH" sz="13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14">
        <xdr:nvSpPr>
          <xdr:cNvPr id="125" name="Textfeld 12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100-00007D000000}"/>
              </a:ext>
            </a:extLst>
          </xdr:cNvPr>
          <xdr:cNvSpPr txBox="1"/>
        </xdr:nvSpPr>
        <xdr:spPr>
          <a:xfrm>
            <a:off x="4536805" y="3127605"/>
            <a:ext cx="1108440" cy="79324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7661D8B6-2CAB-4982-AB80-C4B183FCFB66}" type="TxLink">
              <a:rPr lang="en-US" sz="13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Struktur</a:t>
            </a:fld>
            <a:endParaRPr lang="de-CH" sz="13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15">
        <xdr:nvSpPr>
          <xdr:cNvPr id="126" name="Textfeld 125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100-00007E000000}"/>
              </a:ext>
            </a:extLst>
          </xdr:cNvPr>
          <xdr:cNvSpPr txBox="1"/>
        </xdr:nvSpPr>
        <xdr:spPr>
          <a:xfrm>
            <a:off x="4200506" y="4451014"/>
            <a:ext cx="1135344" cy="58238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D1C646B3-37DB-4690-B2B5-4957C83EC9E8}" type="TxLink">
              <a:rPr lang="en-US" sz="13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Systeme</a:t>
            </a:fld>
            <a:endParaRPr lang="de-CH" sz="13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16">
        <xdr:nvSpPr>
          <xdr:cNvPr id="127" name="Textfeld 126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00000000-0008-0000-0100-00007F000000}"/>
              </a:ext>
            </a:extLst>
          </xdr:cNvPr>
          <xdr:cNvSpPr txBox="1"/>
        </xdr:nvSpPr>
        <xdr:spPr>
          <a:xfrm>
            <a:off x="3149599" y="4842614"/>
            <a:ext cx="1086021" cy="79324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96730170-DADA-4DAD-98D8-22B26F93E2E0}" type="TxLink">
              <a:rPr lang="en-US" sz="13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Prozesse</a:t>
            </a:fld>
            <a:endParaRPr lang="de-CH" sz="13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18">
        <xdr:nvSpPr>
          <xdr:cNvPr id="128" name="Textfeld 127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00000000-0008-0000-0100-000080000000}"/>
              </a:ext>
            </a:extLst>
          </xdr:cNvPr>
          <xdr:cNvSpPr txBox="1"/>
        </xdr:nvSpPr>
        <xdr:spPr>
          <a:xfrm>
            <a:off x="1922934" y="3127605"/>
            <a:ext cx="856440" cy="79324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671AF825-376A-4E36-8914-90945E0085E3}" type="TxLink">
              <a:rPr lang="en-US" sz="13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Kompe-tenzen</a:t>
            </a:fld>
            <a:endParaRPr lang="de-CH" sz="13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17">
        <xdr:nvSpPr>
          <xdr:cNvPr id="129" name="Textfeld 128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00000000-0008-0000-0100-000081000000}"/>
              </a:ext>
            </a:extLst>
          </xdr:cNvPr>
          <xdr:cNvSpPr txBox="1"/>
        </xdr:nvSpPr>
        <xdr:spPr>
          <a:xfrm>
            <a:off x="2025775" y="4272282"/>
            <a:ext cx="1135344" cy="79324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4DF47A7A-1DC1-4F87-A292-B35137BC1AAE}" type="TxLink">
              <a:rPr lang="en-US" sz="13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Personal</a:t>
            </a:fld>
            <a:endParaRPr lang="de-CH" sz="13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' '!A19">
        <xdr:nvSpPr>
          <xdr:cNvPr id="130" name="Textfeld 129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00000000-0008-0000-0100-000082000000}"/>
              </a:ext>
            </a:extLst>
          </xdr:cNvPr>
          <xdr:cNvSpPr txBox="1"/>
        </xdr:nvSpPr>
        <xdr:spPr>
          <a:xfrm>
            <a:off x="2568336" y="2221903"/>
            <a:ext cx="1086022" cy="79324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36000" tIns="36000" rIns="36000" bIns="0" rtlCol="0" anchor="ctr">
            <a:noAutofit/>
          </a:bodyPr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2B94F4F8-8EAE-4B02-B729-ABC298C41539}" type="TxLink">
              <a:rPr lang="en-US" sz="1300">
                <a:solidFill>
                  <a:schemeClr val="bg1"/>
                </a:solidFill>
                <a:latin typeface="+mn-lt"/>
                <a:ea typeface="+mn-ea"/>
                <a:cs typeface="+mn-cs"/>
              </a:rPr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Kommuni-kation</a:t>
            </a:fld>
            <a:endParaRPr lang="de-CH" sz="1300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grpSp>
        <xdr:nvGrpSpPr>
          <xdr:cNvPr id="177" name="Gruppieren 176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00000000-0008-0000-0100-0000B1000000}"/>
              </a:ext>
            </a:extLst>
          </xdr:cNvPr>
          <xdr:cNvGrpSpPr/>
        </xdr:nvGrpSpPr>
        <xdr:grpSpPr>
          <a:xfrm>
            <a:off x="2640770" y="2762464"/>
            <a:ext cx="2103678" cy="2145063"/>
            <a:chOff x="2921571" y="2690368"/>
            <a:chExt cx="2077183" cy="2141503"/>
          </a:xfrm>
        </xdr:grpSpPr>
        <xdr:grpSp>
          <xdr:nvGrpSpPr>
            <xdr:cNvPr id="106" name="Gruppieren 105">
              <a:extLst>
                <a:ext uri="{FF2B5EF4-FFF2-40B4-BE49-F238E27FC236}">
                  <a16:creationId xmlns:a16="http://schemas.microsoft.com/office/drawing/2014/main" id="{00000000-0008-0000-0100-00006A000000}"/>
                </a:ext>
              </a:extLst>
            </xdr:cNvPr>
            <xdr:cNvGrpSpPr/>
          </xdr:nvGrpSpPr>
          <xdr:grpSpPr>
            <a:xfrm>
              <a:off x="2921571" y="2765613"/>
              <a:ext cx="2077183" cy="2066258"/>
              <a:chOff x="2829557" y="2620040"/>
              <a:chExt cx="2315897" cy="2303717"/>
            </a:xfrm>
            <a:solidFill>
              <a:schemeClr val="accent1">
                <a:lumMod val="75000"/>
              </a:schemeClr>
            </a:solidFill>
          </xdr:grpSpPr>
          <xdr:sp macro="" textlink="' '!A20">
            <xdr:nvSpPr>
              <xdr:cNvPr id="107" name="Freihandform 106">
                <a:hlinkClick xmlns:r="http://schemas.openxmlformats.org/officeDocument/2006/relationships" r:id="rId16"/>
                <a:extLst>
                  <a:ext uri="{FF2B5EF4-FFF2-40B4-BE49-F238E27FC236}">
                    <a16:creationId xmlns:a16="http://schemas.microsoft.com/office/drawing/2014/main" id="{00000000-0008-0000-0100-00006B000000}"/>
                  </a:ext>
                </a:extLst>
              </xdr:cNvPr>
              <xdr:cNvSpPr/>
            </xdr:nvSpPr>
            <xdr:spPr>
              <a:xfrm>
                <a:off x="2921176" y="2620040"/>
                <a:ext cx="2224278" cy="2224278"/>
              </a:xfrm>
              <a:custGeom>
                <a:avLst/>
                <a:gdLst>
                  <a:gd name="connsiteX0" fmla="*/ 1112139 w 2224278"/>
                  <a:gd name="connsiteY0" fmla="*/ 0 h 2224278"/>
                  <a:gd name="connsiteX1" fmla="*/ 2075280 w 2224278"/>
                  <a:gd name="connsiteY1" fmla="*/ 556069 h 2224278"/>
                  <a:gd name="connsiteX2" fmla="*/ 2075280 w 2224278"/>
                  <a:gd name="connsiteY2" fmla="*/ 1668208 h 2224278"/>
                  <a:gd name="connsiteX3" fmla="*/ 1112139 w 2224278"/>
                  <a:gd name="connsiteY3" fmla="*/ 1112139 h 2224278"/>
                  <a:gd name="connsiteX4" fmla="*/ 1112139 w 2224278"/>
                  <a:gd name="connsiteY4" fmla="*/ 0 h 2224278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</a:cxnLst>
                <a:rect l="l" t="t" r="r" b="b"/>
                <a:pathLst>
                  <a:path w="2224278" h="2224278">
                    <a:moveTo>
                      <a:pt x="1112139" y="0"/>
                    </a:moveTo>
                    <a:cubicBezTo>
                      <a:pt x="1509468" y="0"/>
                      <a:pt x="1876615" y="211972"/>
                      <a:pt x="2075280" y="556069"/>
                    </a:cubicBezTo>
                    <a:cubicBezTo>
                      <a:pt x="2273944" y="900166"/>
                      <a:pt x="2273944" y="1324111"/>
                      <a:pt x="2075280" y="1668208"/>
                    </a:cubicBezTo>
                    <a:lnTo>
                      <a:pt x="1112139" y="1112139"/>
                    </a:lnTo>
                    <a:lnTo>
                      <a:pt x="1112139" y="0"/>
                    </a:lnTo>
                    <a:close/>
                  </a:path>
                </a:pathLst>
              </a:custGeom>
              <a:grpFill/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2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2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008000" tIns="648000" rIns="108000" bIns="1104925" numCol="1" spcCol="1270" anchor="ctr" anchorCtr="0">
                <a:noAutofit/>
              </a:bodyPr>
              <a:lstStyle/>
              <a:p>
                <a:pPr lvl="0" algn="ctr" defTabSz="4889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fld id="{BD465883-F508-438E-98D5-3506AD9A4FDF}" type="TxLink">
                  <a:rPr lang="en-US" sz="1100" b="0" i="0" u="none" strike="noStrike" kern="1200">
                    <a:solidFill>
                      <a:schemeClr val="bg1"/>
                    </a:solidFill>
                    <a:latin typeface="Calibri"/>
                  </a:rPr>
                  <a:pPr lvl="0" algn="ctr" defTabSz="4889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</a:pPr>
                  <a:t>Auftauen (Unfreezing)</a:t>
                </a:fld>
                <a:endParaRPr lang="de-CH" sz="1100" kern="1200">
                  <a:solidFill>
                    <a:schemeClr val="bg1"/>
                  </a:solidFill>
                </a:endParaRPr>
              </a:p>
            </xdr:txBody>
          </xdr:sp>
          <xdr:sp macro="" textlink="' '!A21">
            <xdr:nvSpPr>
              <xdr:cNvPr id="108" name="Freihandform 107">
                <a:hlinkClick xmlns:r="http://schemas.openxmlformats.org/officeDocument/2006/relationships" r:id="rId16"/>
                <a:extLst>
                  <a:ext uri="{FF2B5EF4-FFF2-40B4-BE49-F238E27FC236}">
                    <a16:creationId xmlns:a16="http://schemas.microsoft.com/office/drawing/2014/main" id="{00000000-0008-0000-0100-00006C000000}"/>
                  </a:ext>
                </a:extLst>
              </xdr:cNvPr>
              <xdr:cNvSpPr/>
            </xdr:nvSpPr>
            <xdr:spPr>
              <a:xfrm>
                <a:off x="2875366" y="2699479"/>
                <a:ext cx="2224278" cy="2224278"/>
              </a:xfrm>
              <a:custGeom>
                <a:avLst/>
                <a:gdLst>
                  <a:gd name="connsiteX0" fmla="*/ 2075280 w 2224278"/>
                  <a:gd name="connsiteY0" fmla="*/ 1668209 h 2224278"/>
                  <a:gd name="connsiteX1" fmla="*/ 1112139 w 2224278"/>
                  <a:gd name="connsiteY1" fmla="*/ 2224279 h 2224278"/>
                  <a:gd name="connsiteX2" fmla="*/ 148998 w 2224278"/>
                  <a:gd name="connsiteY2" fmla="*/ 1668210 h 2224278"/>
                  <a:gd name="connsiteX3" fmla="*/ 1112139 w 2224278"/>
                  <a:gd name="connsiteY3" fmla="*/ 1112139 h 2224278"/>
                  <a:gd name="connsiteX4" fmla="*/ 2075280 w 2224278"/>
                  <a:gd name="connsiteY4" fmla="*/ 1668209 h 2224278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</a:cxnLst>
                <a:rect l="l" t="t" r="r" b="b"/>
                <a:pathLst>
                  <a:path w="2224278" h="2224278">
                    <a:moveTo>
                      <a:pt x="2075280" y="1668209"/>
                    </a:moveTo>
                    <a:cubicBezTo>
                      <a:pt x="1876616" y="2012306"/>
                      <a:pt x="1509468" y="2224279"/>
                      <a:pt x="1112139" y="2224279"/>
                    </a:cubicBezTo>
                    <a:cubicBezTo>
                      <a:pt x="714810" y="2224279"/>
                      <a:pt x="347663" y="2012307"/>
                      <a:pt x="148998" y="1668210"/>
                    </a:cubicBezTo>
                    <a:lnTo>
                      <a:pt x="1112139" y="1112139"/>
                    </a:lnTo>
                    <a:lnTo>
                      <a:pt x="2075280" y="1668209"/>
                    </a:lnTo>
                    <a:close/>
                  </a:path>
                </a:pathLst>
              </a:custGeom>
              <a:grpFill/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2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2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543600" tIns="1296000" rIns="504000" bIns="212566" numCol="1" spcCol="1270" anchor="ctr" anchorCtr="0">
                <a:noAutofit/>
              </a:bodyPr>
              <a:lstStyle/>
              <a:p>
                <a:pPr lvl="0" algn="ctr" defTabSz="4889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fld id="{89A2F322-DAAF-4F13-8827-2D1ED77371FE}" type="TxLink">
                  <a:rPr lang="en-US" sz="1100" b="0" i="0" u="none" strike="noStrike" kern="1200">
                    <a:solidFill>
                      <a:schemeClr val="bg1"/>
                    </a:solidFill>
                    <a:latin typeface="Calibri"/>
                  </a:rPr>
                  <a:pPr lvl="0" algn="ctr" defTabSz="4889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</a:pPr>
                  <a:t>Verändern (Moving)</a:t>
                </a:fld>
                <a:endParaRPr lang="de-CH" sz="1100" kern="1200">
                  <a:solidFill>
                    <a:schemeClr val="bg1"/>
                  </a:solidFill>
                </a:endParaRPr>
              </a:p>
            </xdr:txBody>
          </xdr:sp>
          <xdr:sp macro="" textlink="' '!A22">
            <xdr:nvSpPr>
              <xdr:cNvPr id="109" name="Freihandform 108">
                <a:hlinkClick xmlns:r="http://schemas.openxmlformats.org/officeDocument/2006/relationships" r:id="rId16"/>
                <a:extLst>
                  <a:ext uri="{FF2B5EF4-FFF2-40B4-BE49-F238E27FC236}">
                    <a16:creationId xmlns:a16="http://schemas.microsoft.com/office/drawing/2014/main" id="{00000000-0008-0000-0100-00006D000000}"/>
                  </a:ext>
                </a:extLst>
              </xdr:cNvPr>
              <xdr:cNvSpPr/>
            </xdr:nvSpPr>
            <xdr:spPr>
              <a:xfrm>
                <a:off x="2829557" y="2620040"/>
                <a:ext cx="2224278" cy="2224278"/>
              </a:xfrm>
              <a:custGeom>
                <a:avLst/>
                <a:gdLst>
                  <a:gd name="connsiteX0" fmla="*/ 148998 w 2224278"/>
                  <a:gd name="connsiteY0" fmla="*/ 1668209 h 2224278"/>
                  <a:gd name="connsiteX1" fmla="*/ 148998 w 2224278"/>
                  <a:gd name="connsiteY1" fmla="*/ 556070 h 2224278"/>
                  <a:gd name="connsiteX2" fmla="*/ 1112139 w 2224278"/>
                  <a:gd name="connsiteY2" fmla="*/ 0 h 2224278"/>
                  <a:gd name="connsiteX3" fmla="*/ 1112139 w 2224278"/>
                  <a:gd name="connsiteY3" fmla="*/ 1112139 h 2224278"/>
                  <a:gd name="connsiteX4" fmla="*/ 148998 w 2224278"/>
                  <a:gd name="connsiteY4" fmla="*/ 1668209 h 2224278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</a:cxnLst>
                <a:rect l="l" t="t" r="r" b="b"/>
                <a:pathLst>
                  <a:path w="2224278" h="2224278">
                    <a:moveTo>
                      <a:pt x="148998" y="1668209"/>
                    </a:moveTo>
                    <a:cubicBezTo>
                      <a:pt x="-49666" y="1324112"/>
                      <a:pt x="-49666" y="900167"/>
                      <a:pt x="148998" y="556070"/>
                    </a:cubicBezTo>
                    <a:cubicBezTo>
                      <a:pt x="347662" y="211973"/>
                      <a:pt x="714810" y="0"/>
                      <a:pt x="1112139" y="0"/>
                    </a:cubicBezTo>
                    <a:lnTo>
                      <a:pt x="1112139" y="1112139"/>
                    </a:lnTo>
                    <a:lnTo>
                      <a:pt x="148998" y="1668209"/>
                    </a:lnTo>
                    <a:close/>
                  </a:path>
                </a:pathLst>
              </a:custGeom>
              <a:grpFill/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2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2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80000" tIns="360000" rIns="1116000" bIns="828000" numCol="1" spcCol="1270" anchor="ctr" anchorCtr="0">
                <a:noAutofit/>
              </a:bodyPr>
              <a:lstStyle/>
              <a:p>
                <a:pPr lvl="0" algn="ctr" defTabSz="4889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fld id="{7252E0B8-C098-44F0-B24D-E803BB566A84}" type="TxLink">
                  <a:rPr lang="en-US" sz="1100" b="0" i="0" u="none" strike="noStrike" kern="1200">
                    <a:solidFill>
                      <a:schemeClr val="bg1"/>
                    </a:solidFill>
                    <a:latin typeface="Calibri"/>
                  </a:rPr>
                  <a:pPr lvl="0" algn="ctr" defTabSz="4889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</a:pPr>
                  <a:t>Stabilisieren (Refreezing)</a:t>
                </a:fld>
                <a:endParaRPr lang="de-CH" sz="1100" kern="1200">
                  <a:solidFill>
                    <a:schemeClr val="bg1"/>
                  </a:solidFill>
                </a:endParaRPr>
              </a:p>
            </xdr:txBody>
          </xdr:sp>
        </xdr:grpSp>
        <xdr:cxnSp macro="">
          <xdr:nvCxnSpPr>
            <xdr:cNvPr id="153" name="Gerader Verbinder 152">
              <a:extLst>
                <a:ext uri="{FF2B5EF4-FFF2-40B4-BE49-F238E27FC236}">
                  <a16:creationId xmlns:a16="http://schemas.microsoft.com/office/drawing/2014/main" id="{00000000-0008-0000-0100-000099000000}"/>
                </a:ext>
              </a:extLst>
            </xdr:cNvPr>
            <xdr:cNvCxnSpPr/>
          </xdr:nvCxnSpPr>
          <xdr:spPr>
            <a:xfrm flipV="1">
              <a:off x="3066061" y="3763117"/>
              <a:ext cx="935189" cy="541812"/>
            </a:xfrm>
            <a:prstGeom prst="line">
              <a:avLst/>
            </a:prstGeom>
            <a:ln w="149225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4" name="Gerader Verbinder 163">
              <a:extLst>
                <a:ext uri="{FF2B5EF4-FFF2-40B4-BE49-F238E27FC236}">
                  <a16:creationId xmlns:a16="http://schemas.microsoft.com/office/drawing/2014/main" id="{00000000-0008-0000-0100-0000A4000000}"/>
                </a:ext>
              </a:extLst>
            </xdr:cNvPr>
            <xdr:cNvCxnSpPr/>
          </xdr:nvCxnSpPr>
          <xdr:spPr>
            <a:xfrm>
              <a:off x="3932692" y="3758030"/>
              <a:ext cx="930065" cy="538794"/>
            </a:xfrm>
            <a:prstGeom prst="line">
              <a:avLst/>
            </a:prstGeom>
            <a:ln w="149225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5" name="Gerader Verbinder 174">
              <a:extLst>
                <a:ext uri="{FF2B5EF4-FFF2-40B4-BE49-F238E27FC236}">
                  <a16:creationId xmlns:a16="http://schemas.microsoft.com/office/drawing/2014/main" id="{00000000-0008-0000-0100-0000AF000000}"/>
                </a:ext>
              </a:extLst>
            </xdr:cNvPr>
            <xdr:cNvCxnSpPr/>
          </xdr:nvCxnSpPr>
          <xdr:spPr>
            <a:xfrm flipH="1">
              <a:off x="3956115" y="2690368"/>
              <a:ext cx="5422" cy="1105227"/>
            </a:xfrm>
            <a:prstGeom prst="line">
              <a:avLst/>
            </a:prstGeom>
            <a:ln w="149225">
              <a:solidFill>
                <a:schemeClr val="bg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0</xdr:row>
          <xdr:rowOff>89535</xdr:rowOff>
        </xdr:from>
        <xdr:to>
          <xdr:col>12</xdr:col>
          <xdr:colOff>1904</xdr:colOff>
          <xdr:row>0</xdr:row>
          <xdr:rowOff>539490</xdr:rowOff>
        </xdr:to>
        <xdr:pic>
          <xdr:nvPicPr>
            <xdr:cNvPr id="53" name="Grafik 59">
              <a:hlinkClick xmlns:r="http://schemas.openxmlformats.org/officeDocument/2006/relationships" r:id="rId17" tooltip="Logo"/>
              <a:extLst>
                <a:ext uri="{FF2B5EF4-FFF2-40B4-BE49-F238E27FC236}">
                  <a16:creationId xmlns:a16="http://schemas.microsoft.com/office/drawing/2014/main" id="{00000000-0008-0000-0100-00003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16762"/>
                </a:ext>
              </a:extLst>
            </xdr:cNvPicPr>
          </xdr:nvPicPr>
          <xdr:blipFill>
            <a:blip xmlns:r="http://schemas.openxmlformats.org/officeDocument/2006/relationships" r:embed="rId18"/>
            <a:srcRect/>
            <a:stretch>
              <a:fillRect/>
            </a:stretch>
          </xdr:blipFill>
          <xdr:spPr bwMode="auto">
            <a:xfrm>
              <a:off x="5381625" y="89535"/>
              <a:ext cx="1859279" cy="449955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11436</xdr:colOff>
      <xdr:row>10</xdr:row>
      <xdr:rowOff>38099</xdr:rowOff>
    </xdr:from>
    <xdr:to>
      <xdr:col>10</xdr:col>
      <xdr:colOff>11436</xdr:colOff>
      <xdr:row>21</xdr:row>
      <xdr:rowOff>30599</xdr:rowOff>
    </xdr:to>
    <xdr:cxnSp macro="">
      <xdr:nvCxnSpPr>
        <xdr:cNvPr id="38" name="Gerade Verbindung mit Pfeil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>
        <a:xfrm>
          <a:off x="6755136" y="2390774"/>
          <a:ext cx="0" cy="2088000"/>
        </a:xfrm>
        <a:prstGeom prst="straightConnector1">
          <a:avLst/>
        </a:prstGeom>
        <a:ln>
          <a:solidFill>
            <a:schemeClr val="tx1">
              <a:lumMod val="50000"/>
              <a:lumOff val="50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6" name="Gruppieren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8" name="Grafik 7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11</xdr:col>
      <xdr:colOff>161925</xdr:colOff>
      <xdr:row>1</xdr:row>
      <xdr:rowOff>66675</xdr:rowOff>
    </xdr:from>
    <xdr:ext cx="172800" cy="172800"/>
    <xdr:grpSp>
      <xdr:nvGrpSpPr>
        <xdr:cNvPr id="47" name="Gruppieren 4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GrpSpPr/>
      </xdr:nvGrpSpPr>
      <xdr:grpSpPr>
        <a:xfrm>
          <a:off x="7888605" y="600075"/>
          <a:ext cx="172800" cy="172800"/>
          <a:chOff x="8105775" y="571500"/>
          <a:chExt cx="172800" cy="172800"/>
        </a:xfrm>
      </xdr:grpSpPr>
      <xdr:sp macro="" textlink="">
        <xdr:nvSpPr>
          <xdr:cNvPr id="50" name="Rechteck 49">
            <a:extLst>
              <a:ext uri="{FF2B5EF4-FFF2-40B4-BE49-F238E27FC236}">
                <a16:creationId xmlns:a16="http://schemas.microsoft.com/office/drawing/2014/main" id="{00000000-0008-0000-0200-000032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1" name="Textfeld 50">
            <a:extLst>
              <a:ext uri="{FF2B5EF4-FFF2-40B4-BE49-F238E27FC236}">
                <a16:creationId xmlns:a16="http://schemas.microsoft.com/office/drawing/2014/main" id="{00000000-0008-0000-0200-000033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oneCellAnchor>
  <xdr:twoCellAnchor>
    <xdr:from>
      <xdr:col>4</xdr:col>
      <xdr:colOff>66675</xdr:colOff>
      <xdr:row>10</xdr:row>
      <xdr:rowOff>109461</xdr:rowOff>
    </xdr:from>
    <xdr:to>
      <xdr:col>8</xdr:col>
      <xdr:colOff>542925</xdr:colOff>
      <xdr:row>26</xdr:row>
      <xdr:rowOff>803</xdr:rowOff>
    </xdr:to>
    <xdr:sp macro="" textlink="">
      <xdr:nvSpPr>
        <xdr:cNvPr id="68" name="Gleichschenkliges Dreieck 6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/>
      </xdr:nvSpPr>
      <xdr:spPr>
        <a:xfrm>
          <a:off x="2238375" y="2462136"/>
          <a:ext cx="3524250" cy="2939342"/>
        </a:xfrm>
        <a:prstGeom prst="triangle">
          <a:avLst/>
        </a:prstGeom>
        <a:gradFill>
          <a:gsLst>
            <a:gs pos="0">
              <a:schemeClr val="accent4">
                <a:lumMod val="60000"/>
                <a:lumOff val="40000"/>
              </a:schemeClr>
            </a:gs>
            <a:gs pos="35000">
              <a:schemeClr val="accent4">
                <a:lumMod val="40000"/>
                <a:lumOff val="60000"/>
              </a:schemeClr>
            </a:gs>
            <a:gs pos="100000">
              <a:schemeClr val="accent4">
                <a:lumMod val="20000"/>
                <a:lumOff val="8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4</xdr:col>
      <xdr:colOff>66675</xdr:colOff>
      <xdr:row>5</xdr:row>
      <xdr:rowOff>116885</xdr:rowOff>
    </xdr:from>
    <xdr:to>
      <xdr:col>8</xdr:col>
      <xdr:colOff>542925</xdr:colOff>
      <xdr:row>21</xdr:row>
      <xdr:rowOff>8227</xdr:rowOff>
    </xdr:to>
    <xdr:sp macro="" textlink="">
      <xdr:nvSpPr>
        <xdr:cNvPr id="65" name="Gleichschenkliges Dreieck 6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/>
      </xdr:nvSpPr>
      <xdr:spPr>
        <a:xfrm flipV="1">
          <a:off x="2238375" y="1517060"/>
          <a:ext cx="3524250" cy="2939342"/>
        </a:xfrm>
        <a:prstGeom prst="triangle">
          <a:avLst/>
        </a:prstGeom>
        <a:gradFill>
          <a:gsLst>
            <a:gs pos="0">
              <a:schemeClr val="accent1">
                <a:lumMod val="60000"/>
                <a:lumOff val="40000"/>
                <a:alpha val="50000"/>
              </a:schemeClr>
            </a:gs>
            <a:gs pos="35000">
              <a:schemeClr val="accent1">
                <a:lumMod val="40000"/>
                <a:lumOff val="60000"/>
                <a:alpha val="50000"/>
              </a:schemeClr>
            </a:gs>
            <a:gs pos="100000">
              <a:schemeClr val="accent1">
                <a:lumMod val="20000"/>
                <a:lumOff val="80000"/>
                <a:alpha val="50000"/>
              </a:schemeClr>
            </a:gs>
          </a:gsLst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5</xdr:col>
      <xdr:colOff>558039</xdr:colOff>
      <xdr:row>26</xdr:row>
      <xdr:rowOff>145632</xdr:rowOff>
    </xdr:from>
    <xdr:to>
      <xdr:col>7</xdr:col>
      <xdr:colOff>51562</xdr:colOff>
      <xdr:row>27</xdr:row>
      <xdr:rowOff>590444</xdr:rowOff>
    </xdr:to>
    <xdr:grpSp>
      <xdr:nvGrpSpPr>
        <xdr:cNvPr id="20" name="Gruppieren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GrpSpPr/>
      </xdr:nvGrpSpPr>
      <xdr:grpSpPr>
        <a:xfrm>
          <a:off x="3575559" y="5357712"/>
          <a:ext cx="1063243" cy="627692"/>
          <a:chOff x="2615439" y="5114626"/>
          <a:chExt cx="1017523" cy="585677"/>
        </a:xfrm>
      </xdr:grpSpPr>
      <xdr:sp macro="" textlink="">
        <xdr:nvSpPr>
          <xdr:cNvPr id="72" name="Textfeld 71">
            <a:extLst>
              <a:ext uri="{FF2B5EF4-FFF2-40B4-BE49-F238E27FC236}">
                <a16:creationId xmlns:a16="http://schemas.microsoft.com/office/drawing/2014/main" id="{00000000-0008-0000-0200-000048000000}"/>
              </a:ext>
            </a:extLst>
          </xdr:cNvPr>
          <xdr:cNvSpPr txBox="1"/>
        </xdr:nvSpPr>
        <xdr:spPr>
          <a:xfrm>
            <a:off x="2615439" y="5357517"/>
            <a:ext cx="1017523" cy="342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de-CH" sz="1600">
                <a:solidFill>
                  <a:schemeClr val="tx1">
                    <a:lumMod val="50000"/>
                    <a:lumOff val="50000"/>
                  </a:schemeClr>
                </a:solidFill>
              </a:rPr>
              <a:t>Buttom up</a:t>
            </a:r>
          </a:p>
        </xdr:txBody>
      </xdr:sp>
      <xdr:sp macro="" textlink="">
        <xdr:nvSpPr>
          <xdr:cNvPr id="73" name="Eingekerbter Richtungspfeil 72">
            <a:extLst>
              <a:ext uri="{FF2B5EF4-FFF2-40B4-BE49-F238E27FC236}">
                <a16:creationId xmlns:a16="http://schemas.microsoft.com/office/drawing/2014/main" id="{00000000-0008-0000-0200-000049000000}"/>
              </a:ext>
            </a:extLst>
          </xdr:cNvPr>
          <xdr:cNvSpPr/>
        </xdr:nvSpPr>
        <xdr:spPr>
          <a:xfrm rot="16200000" flipV="1">
            <a:off x="3014663" y="5024139"/>
            <a:ext cx="219075" cy="400050"/>
          </a:xfrm>
          <a:prstGeom prst="chevron">
            <a:avLst/>
          </a:prstGeom>
          <a:ln>
            <a:solidFill>
              <a:schemeClr val="bg1">
                <a:lumMod val="65000"/>
              </a:schemeClr>
            </a:solidFill>
          </a:ln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4</xdr:col>
      <xdr:colOff>381128</xdr:colOff>
      <xdr:row>17</xdr:row>
      <xdr:rowOff>150954</xdr:rowOff>
    </xdr:from>
    <xdr:to>
      <xdr:col>8</xdr:col>
      <xdr:colOff>228473</xdr:colOff>
      <xdr:row>23</xdr:row>
      <xdr:rowOff>163945</xdr:rowOff>
    </xdr:to>
    <xdr:sp macro="" textlink="' '!A50">
      <xdr:nvSpPr>
        <xdr:cNvPr id="75" name="Text Box 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 txBox="1">
          <a:spLocks noChangeArrowheads="1"/>
        </xdr:cNvSpPr>
      </xdr:nvSpPr>
      <xdr:spPr bwMode="auto">
        <a:xfrm>
          <a:off x="2552828" y="3837129"/>
          <a:ext cx="2895345" cy="11559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fld id="{26EAA4ED-89E9-4C15-BE1E-5B1E6965A0E8}" type="TxLink">
            <a:rPr lang="en-US" sz="1100" b="0" i="0" u="none" strike="noStrike" kern="1200">
              <a:solidFill>
                <a:srgbClr val="000000"/>
              </a:solidFill>
              <a:latin typeface="Calibri"/>
              <a:ea typeface="+mn-ea"/>
              <a:cs typeface="+mn-cs"/>
            </a:rPr>
            <a:pPr marL="0" marR="0" indent="0" algn="ctr" defTabSz="914400" rtl="0" eaLnBrk="1" fontAlgn="base" latinLnBrk="0" hangingPunct="1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 typeface="Times" pitchFamily="18" charset="0"/>
              <a:buNone/>
              <a:tabLst/>
              <a:defRPr/>
            </a:pPr>
            <a:t>langsam
evolutionär
Soziale Effizienz
Hohe Partizipation der MA
Strategische Krise/Wunsch als Auslöser</a:t>
          </a:fld>
          <a:endParaRPr lang="de-CH" sz="1100" b="0">
            <a:solidFill>
              <a:schemeClr val="tx1">
                <a:lumMod val="75000"/>
                <a:lumOff val="25000"/>
              </a:schemeClr>
            </a:solidFill>
          </a:endParaRPr>
        </a:p>
      </xdr:txBody>
    </xdr:sp>
    <xdr:clientData/>
  </xdr:twoCellAnchor>
  <xdr:twoCellAnchor>
    <xdr:from>
      <xdr:col>5</xdr:col>
      <xdr:colOff>558039</xdr:colOff>
      <xdr:row>1</xdr:row>
      <xdr:rowOff>219075</xdr:rowOff>
    </xdr:from>
    <xdr:to>
      <xdr:col>7</xdr:col>
      <xdr:colOff>51562</xdr:colOff>
      <xdr:row>4</xdr:row>
      <xdr:rowOff>157568</xdr:rowOff>
    </xdr:to>
    <xdr:grpSp>
      <xdr:nvGrpSpPr>
        <xdr:cNvPr id="19" name="Gruppieren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GrpSpPr/>
      </xdr:nvGrpSpPr>
      <xdr:grpSpPr>
        <a:xfrm>
          <a:off x="3575559" y="752475"/>
          <a:ext cx="1063243" cy="593813"/>
          <a:chOff x="2615439" y="752475"/>
          <a:chExt cx="1017523" cy="566738"/>
        </a:xfrm>
      </xdr:grpSpPr>
      <xdr:sp macro="" textlink="">
        <xdr:nvSpPr>
          <xdr:cNvPr id="71" name="Textfeld 70">
            <a:extLst>
              <a:ext uri="{FF2B5EF4-FFF2-40B4-BE49-F238E27FC236}">
                <a16:creationId xmlns:a16="http://schemas.microsoft.com/office/drawing/2014/main" id="{00000000-0008-0000-0200-000047000000}"/>
              </a:ext>
            </a:extLst>
          </xdr:cNvPr>
          <xdr:cNvSpPr txBox="1"/>
        </xdr:nvSpPr>
        <xdr:spPr>
          <a:xfrm>
            <a:off x="2615439" y="752475"/>
            <a:ext cx="1017523" cy="342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de-CH" sz="1600">
                <a:solidFill>
                  <a:schemeClr val="tx1">
                    <a:lumMod val="50000"/>
                    <a:lumOff val="50000"/>
                  </a:schemeClr>
                </a:solidFill>
              </a:rPr>
              <a:t>Top down</a:t>
            </a:r>
          </a:p>
        </xdr:txBody>
      </xdr:sp>
      <xdr:sp macro="" textlink="">
        <xdr:nvSpPr>
          <xdr:cNvPr id="18" name="Eingekerbter Richtungspfeil 17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SpPr/>
        </xdr:nvSpPr>
        <xdr:spPr>
          <a:xfrm rot="5400000">
            <a:off x="3014663" y="1009651"/>
            <a:ext cx="219075" cy="400050"/>
          </a:xfrm>
          <a:prstGeom prst="chevron">
            <a:avLst/>
          </a:prstGeom>
          <a:ln>
            <a:solidFill>
              <a:schemeClr val="bg1">
                <a:lumMod val="65000"/>
              </a:schemeClr>
            </a:solidFill>
          </a:ln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4</xdr:col>
      <xdr:colOff>620200</xdr:colOff>
      <xdr:row>8</xdr:row>
      <xdr:rowOff>175651</xdr:rowOff>
    </xdr:from>
    <xdr:to>
      <xdr:col>7</xdr:col>
      <xdr:colOff>751400</xdr:colOff>
      <xdr:row>14</xdr:row>
      <xdr:rowOff>12669</xdr:rowOff>
    </xdr:to>
    <xdr:sp macro="" textlink="' '!A49">
      <xdr:nvSpPr>
        <xdr:cNvPr id="74" name="Text Box 10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 txBox="1">
          <a:spLocks noChangeArrowheads="1"/>
        </xdr:cNvSpPr>
      </xdr:nvSpPr>
      <xdr:spPr bwMode="auto">
        <a:xfrm>
          <a:off x="2791900" y="2147326"/>
          <a:ext cx="2417200" cy="9800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indent="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</a:pPr>
          <a:fld id="{D8946E3A-211E-44A0-B273-744C99539674}" type="TxLink">
            <a:rPr lang="en-US" sz="1100" b="0" kern="1200">
              <a:solidFill>
                <a:schemeClr val="tx1">
                  <a:lumMod val="75000"/>
                  <a:lumOff val="25000"/>
                </a:schemeClr>
              </a:solidFill>
              <a:latin typeface="Arial" pitchFamily="34" charset="0"/>
              <a:ea typeface="+mn-ea"/>
              <a:cs typeface="+mn-cs"/>
            </a:rPr>
            <a:pPr marL="0" indent="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</a:pPr>
            <a:t>« Überlebenskrise » als Auslöser
Geringe Partizipation der MA
Ökonomische Effizienz
radikal
schnell</a:t>
          </a:fld>
          <a:endParaRPr lang="de-CH" sz="1100" b="0" kern="1200">
            <a:solidFill>
              <a:schemeClr val="tx1">
                <a:lumMod val="75000"/>
                <a:lumOff val="25000"/>
              </a:schemeClr>
            </a:solidFill>
            <a:latin typeface="Arial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644849</xdr:colOff>
      <xdr:row>10</xdr:row>
      <xdr:rowOff>38099</xdr:rowOff>
    </xdr:from>
    <xdr:to>
      <xdr:col>2</xdr:col>
      <xdr:colOff>644849</xdr:colOff>
      <xdr:row>21</xdr:row>
      <xdr:rowOff>30599</xdr:rowOff>
    </xdr:to>
    <xdr:cxnSp macro="">
      <xdr:nvCxnSpPr>
        <xdr:cNvPr id="3" name="Gerade Verbindung mit Pfeil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292549" y="2390774"/>
          <a:ext cx="0" cy="2088000"/>
        </a:xfrm>
        <a:prstGeom prst="straightConnector1">
          <a:avLst/>
        </a:prstGeom>
        <a:ln>
          <a:solidFill>
            <a:schemeClr val="tx1">
              <a:lumMod val="50000"/>
              <a:lumOff val="50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71436</xdr:colOff>
      <xdr:row>13</xdr:row>
      <xdr:rowOff>85725</xdr:rowOff>
    </xdr:from>
    <xdr:to>
      <xdr:col>10</xdr:col>
      <xdr:colOff>713436</xdr:colOff>
      <xdr:row>14</xdr:row>
      <xdr:rowOff>147225</xdr:rowOff>
    </xdr:to>
    <xdr:sp macro="" textlink="' '!A53">
      <xdr:nvSpPr>
        <xdr:cNvPr id="27" name="Richtungspfeil 2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 flipH="1">
          <a:off x="6053136" y="3009900"/>
          <a:ext cx="1404000" cy="252000"/>
        </a:xfrm>
        <a:prstGeom prst="homePlate">
          <a:avLst/>
        </a:prstGeom>
        <a:solidFill>
          <a:schemeClr val="tx2"/>
        </a:solidFill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79AAD9CC-82E6-4A6F-B28D-574CF533F637}" type="TxLink">
            <a:rPr lang="en-US" sz="1400" b="0" i="0" u="none" strike="noStrike" baseline="0">
              <a:solidFill>
                <a:schemeClr val="bg1"/>
              </a:solidFill>
              <a:latin typeface="Calibri"/>
            </a:rPr>
            <a:pPr algn="ctr"/>
            <a:t>SWOT</a:t>
          </a:fld>
          <a:endParaRPr lang="de-CH" sz="1400" baseline="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71436</xdr:colOff>
      <xdr:row>15</xdr:row>
      <xdr:rowOff>28575</xdr:rowOff>
    </xdr:from>
    <xdr:to>
      <xdr:col>10</xdr:col>
      <xdr:colOff>713436</xdr:colOff>
      <xdr:row>16</xdr:row>
      <xdr:rowOff>90075</xdr:rowOff>
    </xdr:to>
    <xdr:sp macro="" textlink="' '!A54">
      <xdr:nvSpPr>
        <xdr:cNvPr id="31" name="Richtungspfeil 3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 flipH="1">
          <a:off x="6053136" y="3333750"/>
          <a:ext cx="1404000" cy="252000"/>
        </a:xfrm>
        <a:prstGeom prst="homePlate">
          <a:avLst/>
        </a:prstGeom>
        <a:solidFill>
          <a:schemeClr val="tx2"/>
        </a:solidFill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CDA04DCE-8D27-40ED-8085-B6F18C882B11}" type="TxLink">
            <a:rPr lang="en-US" sz="1400" b="0" i="0" u="none" strike="noStrike" baseline="0">
              <a:solidFill>
                <a:schemeClr val="bg1"/>
              </a:solidFill>
              <a:latin typeface="Calibri"/>
              <a:ea typeface="+mn-ea"/>
              <a:cs typeface="+mn-cs"/>
            </a:rPr>
            <a:pPr marL="0" indent="0" algn="ctr"/>
            <a:t>Benchmark</a:t>
          </a:fld>
          <a:endParaRPr lang="de-CH" sz="1400" b="0" i="0" u="none" strike="noStrike" baseline="0">
            <a:solidFill>
              <a:schemeClr val="bg1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123824</xdr:colOff>
      <xdr:row>13</xdr:row>
      <xdr:rowOff>85725</xdr:rowOff>
    </xdr:from>
    <xdr:to>
      <xdr:col>3</xdr:col>
      <xdr:colOff>584849</xdr:colOff>
      <xdr:row>14</xdr:row>
      <xdr:rowOff>147225</xdr:rowOff>
    </xdr:to>
    <xdr:sp macro="" textlink="' '!A52">
      <xdr:nvSpPr>
        <xdr:cNvPr id="29" name="Richtungspfeil 2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590549" y="3009900"/>
          <a:ext cx="1404000" cy="252000"/>
        </a:xfrm>
        <a:prstGeom prst="homePlate">
          <a:avLst/>
        </a:prstGeom>
        <a:solidFill>
          <a:srgbClr val="C00000"/>
        </a:solidFill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CBBB5637-51B1-46F8-9258-7A698CA7CB30}" type="TxLink">
            <a:rPr lang="en-US" sz="1400" b="0" i="0" u="none" strike="noStrike" baseline="0">
              <a:solidFill>
                <a:schemeClr val="bg1"/>
              </a:solidFill>
              <a:latin typeface="Calibri"/>
            </a:rPr>
            <a:pPr algn="ctr"/>
            <a:t>Risiken</a:t>
          </a:fld>
          <a:endParaRPr lang="de-CH" sz="1400" baseline="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123824</xdr:colOff>
      <xdr:row>15</xdr:row>
      <xdr:rowOff>28575</xdr:rowOff>
    </xdr:from>
    <xdr:to>
      <xdr:col>3</xdr:col>
      <xdr:colOff>584849</xdr:colOff>
      <xdr:row>16</xdr:row>
      <xdr:rowOff>90075</xdr:rowOff>
    </xdr:to>
    <xdr:sp macro="" textlink="' '!A55">
      <xdr:nvSpPr>
        <xdr:cNvPr id="32" name="Richtungspfeil 3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/>
      </xdr:nvSpPr>
      <xdr:spPr>
        <a:xfrm>
          <a:off x="590549" y="3333750"/>
          <a:ext cx="1404000" cy="252000"/>
        </a:xfrm>
        <a:prstGeom prst="homePlate">
          <a:avLst/>
        </a:prstGeom>
        <a:solidFill>
          <a:srgbClr val="C00000"/>
        </a:solidFill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A11FC7D5-E93F-43DD-BFDA-42C915FDEB51}" type="TxLink">
            <a:rPr lang="en-US" sz="1400" b="0" i="0" u="none" strike="noStrike" baseline="0">
              <a:solidFill>
                <a:schemeClr val="bg1"/>
              </a:solidFill>
              <a:latin typeface="Calibri"/>
              <a:ea typeface="+mn-ea"/>
              <a:cs typeface="+mn-cs"/>
            </a:rPr>
            <a:pPr marL="0" indent="0" algn="ctr"/>
            <a:t>Reklamationen</a:t>
          </a:fld>
          <a:endParaRPr lang="de-CH" sz="1400" b="0" i="0" u="none" strike="noStrike" baseline="0">
            <a:solidFill>
              <a:schemeClr val="bg1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123824</xdr:colOff>
      <xdr:row>16</xdr:row>
      <xdr:rowOff>161925</xdr:rowOff>
    </xdr:from>
    <xdr:to>
      <xdr:col>3</xdr:col>
      <xdr:colOff>584849</xdr:colOff>
      <xdr:row>18</xdr:row>
      <xdr:rowOff>32925</xdr:rowOff>
    </xdr:to>
    <xdr:sp macro="" textlink="' '!A56">
      <xdr:nvSpPr>
        <xdr:cNvPr id="33" name="Richtungspfeil 3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/>
      </xdr:nvSpPr>
      <xdr:spPr>
        <a:xfrm>
          <a:off x="590549" y="3657600"/>
          <a:ext cx="1404000" cy="252000"/>
        </a:xfrm>
        <a:prstGeom prst="homePlate">
          <a:avLst/>
        </a:prstGeom>
        <a:solidFill>
          <a:srgbClr val="C00000"/>
        </a:solidFill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E8A04ABC-AE91-420B-8E55-3EAA07AA0F3A}" type="TxLink">
            <a:rPr lang="en-US" sz="1400" b="0" i="0" u="none" strike="noStrike" baseline="0">
              <a:solidFill>
                <a:schemeClr val="bg1"/>
              </a:solidFill>
              <a:latin typeface="Calibri"/>
              <a:ea typeface="+mn-ea"/>
              <a:cs typeface="+mn-cs"/>
            </a:rPr>
            <a:pPr marL="0" indent="0" algn="ctr"/>
            <a:t>Fehler</a:t>
          </a:fld>
          <a:endParaRPr lang="de-CH" sz="1400" b="0" i="0" u="none" strike="noStrike" baseline="0">
            <a:solidFill>
              <a:schemeClr val="bg1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71436</xdr:colOff>
      <xdr:row>16</xdr:row>
      <xdr:rowOff>161925</xdr:rowOff>
    </xdr:from>
    <xdr:to>
      <xdr:col>10</xdr:col>
      <xdr:colOff>713436</xdr:colOff>
      <xdr:row>18</xdr:row>
      <xdr:rowOff>32925</xdr:rowOff>
    </xdr:to>
    <xdr:sp macro="" textlink="' '!A57">
      <xdr:nvSpPr>
        <xdr:cNvPr id="34" name="Richtungspfeil 3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>
        <a:xfrm flipH="1">
          <a:off x="6053136" y="3657600"/>
          <a:ext cx="1404000" cy="252000"/>
        </a:xfrm>
        <a:prstGeom prst="homePlate">
          <a:avLst/>
        </a:prstGeom>
        <a:solidFill>
          <a:schemeClr val="tx2"/>
        </a:solidFill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49E7EA6C-2ABF-49A5-A4CA-3C1A62AB6533}" type="TxLink">
            <a:rPr lang="en-US" sz="1400" b="0" i="0" u="none" strike="noStrike" baseline="0">
              <a:solidFill>
                <a:schemeClr val="bg1"/>
              </a:solidFill>
              <a:latin typeface="Calibri"/>
              <a:ea typeface="+mn-ea"/>
              <a:cs typeface="+mn-cs"/>
            </a:rPr>
            <a:pPr marL="0" indent="0" algn="ctr"/>
            <a:t>Trends</a:t>
          </a:fld>
          <a:endParaRPr lang="de-CH" sz="1400" b="0" i="0" u="none" strike="noStrike" baseline="0">
            <a:solidFill>
              <a:schemeClr val="bg1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304800</xdr:colOff>
      <xdr:row>24</xdr:row>
      <xdr:rowOff>28575</xdr:rowOff>
    </xdr:from>
    <xdr:to>
      <xdr:col>8</xdr:col>
      <xdr:colOff>323849</xdr:colOff>
      <xdr:row>25</xdr:row>
      <xdr:rowOff>180861</xdr:rowOff>
    </xdr:to>
    <xdr:sp macro="" textlink="' '!A51">
      <xdr:nvSpPr>
        <xdr:cNvPr id="5" name="Textfeld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2476500" y="5048250"/>
          <a:ext cx="3067049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81AB2C22-7B39-4ED7-9770-64589FD0F54A}" type="TxLink">
            <a:rPr lang="en-US" sz="1800" b="0" i="0" u="none" strike="noStrike">
              <a:solidFill>
                <a:schemeClr val="accent4">
                  <a:lumMod val="50000"/>
                </a:schemeClr>
              </a:solidFill>
              <a:latin typeface="Calibri"/>
            </a:rPr>
            <a:pPr algn="ctr"/>
            <a:t>Organisationsentwicklung</a:t>
          </a:fld>
          <a:endParaRPr lang="de-CH" sz="18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304801</xdr:colOff>
      <xdr:row>5</xdr:row>
      <xdr:rowOff>76200</xdr:rowOff>
    </xdr:from>
    <xdr:to>
      <xdr:col>8</xdr:col>
      <xdr:colOff>304801</xdr:colOff>
      <xdr:row>7</xdr:row>
      <xdr:rowOff>37986</xdr:rowOff>
    </xdr:to>
    <xdr:sp macro="" textlink="">
      <xdr:nvSpPr>
        <xdr:cNvPr id="69" name="Textfeld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 txBox="1"/>
      </xdr:nvSpPr>
      <xdr:spPr>
        <a:xfrm>
          <a:off x="2476501" y="1476375"/>
          <a:ext cx="304800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de-CH" sz="1800">
              <a:solidFill>
                <a:schemeClr val="tx2"/>
              </a:solidFill>
            </a:rPr>
            <a:t>Business Reengeneering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173404</xdr:colOff>
      <xdr:row>40</xdr:row>
      <xdr:rowOff>151982</xdr:rowOff>
    </xdr:from>
    <xdr:to>
      <xdr:col>5</xdr:col>
      <xdr:colOff>1825750</xdr:colOff>
      <xdr:row>49</xdr:row>
      <xdr:rowOff>129482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/>
        </xdr:cNvSpPr>
      </xdr:nvSpPr>
      <xdr:spPr>
        <a:xfrm>
          <a:off x="3659554" y="9962732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361259</xdr:colOff>
      <xdr:row>40</xdr:row>
      <xdr:rowOff>151982</xdr:rowOff>
    </xdr:from>
    <xdr:to>
      <xdr:col>4</xdr:col>
      <xdr:colOff>127655</xdr:colOff>
      <xdr:row>49</xdr:row>
      <xdr:rowOff>129482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spect="1"/>
        </xdr:cNvSpPr>
      </xdr:nvSpPr>
      <xdr:spPr>
        <a:xfrm>
          <a:off x="1132784" y="9962732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1868786</xdr:colOff>
      <xdr:row>40</xdr:row>
      <xdr:rowOff>151983</xdr:rowOff>
    </xdr:from>
    <xdr:to>
      <xdr:col>8</xdr:col>
      <xdr:colOff>34982</xdr:colOff>
      <xdr:row>49</xdr:row>
      <xdr:rowOff>129483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spect="1"/>
        </xdr:cNvSpPr>
      </xdr:nvSpPr>
      <xdr:spPr>
        <a:xfrm>
          <a:off x="6183611" y="9962733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173404</xdr:colOff>
      <xdr:row>31</xdr:row>
      <xdr:rowOff>137903</xdr:rowOff>
    </xdr:from>
    <xdr:to>
      <xdr:col>5</xdr:col>
      <xdr:colOff>1825750</xdr:colOff>
      <xdr:row>40</xdr:row>
      <xdr:rowOff>115403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spect="1"/>
        </xdr:cNvSpPr>
      </xdr:nvSpPr>
      <xdr:spPr>
        <a:xfrm>
          <a:off x="3659554" y="8234153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361259</xdr:colOff>
      <xdr:row>31</xdr:row>
      <xdr:rowOff>137903</xdr:rowOff>
    </xdr:from>
    <xdr:to>
      <xdr:col>4</xdr:col>
      <xdr:colOff>127655</xdr:colOff>
      <xdr:row>40</xdr:row>
      <xdr:rowOff>115403</xdr:rowOff>
    </xdr:to>
    <xdr:sp macro="" textlink="">
      <xdr:nvSpPr>
        <xdr:cNvPr id="6" name="Rechtec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spect="1"/>
        </xdr:cNvSpPr>
      </xdr:nvSpPr>
      <xdr:spPr>
        <a:xfrm>
          <a:off x="1132784" y="8234153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1868786</xdr:colOff>
      <xdr:row>31</xdr:row>
      <xdr:rowOff>137904</xdr:rowOff>
    </xdr:from>
    <xdr:to>
      <xdr:col>8</xdr:col>
      <xdr:colOff>34982</xdr:colOff>
      <xdr:row>40</xdr:row>
      <xdr:rowOff>115404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spect="1"/>
        </xdr:cNvSpPr>
      </xdr:nvSpPr>
      <xdr:spPr>
        <a:xfrm>
          <a:off x="6183611" y="8234154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173404</xdr:colOff>
      <xdr:row>22</xdr:row>
      <xdr:rowOff>114299</xdr:rowOff>
    </xdr:from>
    <xdr:to>
      <xdr:col>5</xdr:col>
      <xdr:colOff>1825750</xdr:colOff>
      <xdr:row>31</xdr:row>
      <xdr:rowOff>91799</xdr:rowOff>
    </xdr:to>
    <xdr:sp macro="" textlink="">
      <xdr:nvSpPr>
        <xdr:cNvPr id="8" name="Rechteck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spect="1"/>
        </xdr:cNvSpPr>
      </xdr:nvSpPr>
      <xdr:spPr>
        <a:xfrm>
          <a:off x="3659554" y="6496049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361259</xdr:colOff>
      <xdr:row>22</xdr:row>
      <xdr:rowOff>114299</xdr:rowOff>
    </xdr:from>
    <xdr:to>
      <xdr:col>4</xdr:col>
      <xdr:colOff>127655</xdr:colOff>
      <xdr:row>31</xdr:row>
      <xdr:rowOff>91799</xdr:rowOff>
    </xdr:to>
    <xdr:sp macro="" textlink="">
      <xdr:nvSpPr>
        <xdr:cNvPr id="9" name="Rechteck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spect="1"/>
        </xdr:cNvSpPr>
      </xdr:nvSpPr>
      <xdr:spPr>
        <a:xfrm>
          <a:off x="1132784" y="6496049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1868786</xdr:colOff>
      <xdr:row>22</xdr:row>
      <xdr:rowOff>114300</xdr:rowOff>
    </xdr:from>
    <xdr:to>
      <xdr:col>8</xdr:col>
      <xdr:colOff>34982</xdr:colOff>
      <xdr:row>31</xdr:row>
      <xdr:rowOff>91800</xdr:rowOff>
    </xdr:to>
    <xdr:sp macro="" textlink="">
      <xdr:nvSpPr>
        <xdr:cNvPr id="10" name="Rechteck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spect="1"/>
        </xdr:cNvSpPr>
      </xdr:nvSpPr>
      <xdr:spPr>
        <a:xfrm>
          <a:off x="6183611" y="6496050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0</xdr:col>
      <xdr:colOff>233789</xdr:colOff>
      <xdr:row>22</xdr:row>
      <xdr:rowOff>133349</xdr:rowOff>
    </xdr:from>
    <xdr:to>
      <xdr:col>1</xdr:col>
      <xdr:colOff>109850</xdr:colOff>
      <xdr:row>50</xdr:row>
      <xdr:rowOff>47624</xdr:rowOff>
    </xdr:to>
    <xdr:sp macro="" textlink="' '!A92">
      <xdr:nvSpPr>
        <xdr:cNvPr id="11" name="Textfeld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 rot="16200000">
          <a:off x="-2218956" y="8967844"/>
          <a:ext cx="524827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590E9E55-F831-4F64-8B91-C68E852AA958}" type="TxLink">
            <a:rPr lang="de-CH" sz="1600" b="1"/>
            <a:pPr algn="ctr"/>
            <a:t>Eintretenswahrscheinlichkeit</a:t>
          </a:fld>
          <a:endParaRPr lang="de-CH" sz="1600" b="1"/>
        </a:p>
      </xdr:txBody>
    </xdr:sp>
    <xdr:clientData/>
  </xdr:twoCellAnchor>
  <xdr:twoCellAnchor editAs="oneCell">
    <xdr:from>
      <xdr:col>2</xdr:col>
      <xdr:colOff>342900</xdr:colOff>
      <xdr:row>52</xdr:row>
      <xdr:rowOff>188259</xdr:rowOff>
    </xdr:from>
    <xdr:to>
      <xdr:col>8</xdr:col>
      <xdr:colOff>57150</xdr:colOff>
      <xdr:row>54</xdr:row>
      <xdr:rowOff>150045</xdr:rowOff>
    </xdr:to>
    <xdr:sp macro="" textlink="' '!A96">
      <xdr:nvSpPr>
        <xdr:cNvPr id="12" name="Textfeld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114425" y="12285009"/>
          <a:ext cx="757237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D361E393-E969-47E7-986C-E5B28DB6E48D}" type="TxLink">
            <a:rPr lang="de-CH" sz="1600" b="1"/>
            <a:pPr algn="ctr"/>
            <a:t>Schadensausmass</a:t>
          </a:fld>
          <a:endParaRPr lang="de-CH" sz="1600" b="1"/>
        </a:p>
      </xdr:txBody>
    </xdr:sp>
    <xdr:clientData/>
  </xdr:twoCellAnchor>
  <xdr:twoCellAnchor editAs="oneCell">
    <xdr:from>
      <xdr:col>1</xdr:col>
      <xdr:colOff>94500</xdr:colOff>
      <xdr:row>22</xdr:row>
      <xdr:rowOff>114299</xdr:rowOff>
    </xdr:from>
    <xdr:to>
      <xdr:col>2</xdr:col>
      <xdr:colOff>101196</xdr:colOff>
      <xdr:row>27</xdr:row>
      <xdr:rowOff>142874</xdr:rowOff>
    </xdr:to>
    <xdr:sp macro="" textlink="' '!A93">
      <xdr:nvSpPr>
        <xdr:cNvPr id="13" name="Textfeld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 rot="16200000">
          <a:off x="226435" y="6830839"/>
          <a:ext cx="98107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E793A3AD-497F-400B-87B6-F8005DB08AB7}" type="TxLink">
            <a:rPr lang="de-CH" sz="1400" b="0"/>
            <a:pPr algn="ctr"/>
            <a:t>hoch</a:t>
          </a:fld>
          <a:endParaRPr lang="de-CH" sz="1400" b="0"/>
        </a:p>
      </xdr:txBody>
    </xdr:sp>
    <xdr:clientData/>
  </xdr:twoCellAnchor>
  <xdr:twoCellAnchor editAs="oneCell">
    <xdr:from>
      <xdr:col>1</xdr:col>
      <xdr:colOff>94504</xdr:colOff>
      <xdr:row>45</xdr:row>
      <xdr:rowOff>28575</xdr:rowOff>
    </xdr:from>
    <xdr:to>
      <xdr:col>2</xdr:col>
      <xdr:colOff>101200</xdr:colOff>
      <xdr:row>50</xdr:row>
      <xdr:rowOff>28574</xdr:rowOff>
    </xdr:to>
    <xdr:sp macro="" textlink="' '!A95">
      <xdr:nvSpPr>
        <xdr:cNvPr id="14" name="Textfeld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 rot="16200000">
          <a:off x="240727" y="11112327"/>
          <a:ext cx="95249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9A6B5979-172E-4330-88C7-F9077EE8AE73}" type="TxLink">
            <a:rPr lang="de-CH" sz="1400" b="0"/>
            <a:pPr algn="ctr"/>
            <a:t>gering</a:t>
          </a:fld>
          <a:endParaRPr lang="de-CH" sz="1400" b="0"/>
        </a:p>
      </xdr:txBody>
    </xdr:sp>
    <xdr:clientData/>
  </xdr:twoCellAnchor>
  <xdr:twoCellAnchor editAs="oneCell">
    <xdr:from>
      <xdr:col>7</xdr:col>
      <xdr:colOff>390525</xdr:colOff>
      <xdr:row>51</xdr:row>
      <xdr:rowOff>76769</xdr:rowOff>
    </xdr:from>
    <xdr:to>
      <xdr:col>8</xdr:col>
      <xdr:colOff>38100</xdr:colOff>
      <xdr:row>53</xdr:row>
      <xdr:rowOff>7265</xdr:rowOff>
    </xdr:to>
    <xdr:sp macro="" textlink="' '!A93">
      <xdr:nvSpPr>
        <xdr:cNvPr id="15" name="Textfeld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7286625" y="11983019"/>
          <a:ext cx="13811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A6C8FDB9-875E-491B-8B4D-DB081B59F70E}" type="TxLink">
            <a:rPr lang="de-CH" sz="1400" b="0"/>
            <a:pPr algn="ctr"/>
            <a:t>hoch</a:t>
          </a:fld>
          <a:endParaRPr lang="de-CH" sz="1400" b="0"/>
        </a:p>
      </xdr:txBody>
    </xdr:sp>
    <xdr:clientData/>
  </xdr:twoCellAnchor>
  <xdr:twoCellAnchor editAs="oneCell">
    <xdr:from>
      <xdr:col>2</xdr:col>
      <xdr:colOff>314325</xdr:colOff>
      <xdr:row>51</xdr:row>
      <xdr:rowOff>78011</xdr:rowOff>
    </xdr:from>
    <xdr:to>
      <xdr:col>2</xdr:col>
      <xdr:colOff>1685925</xdr:colOff>
      <xdr:row>53</xdr:row>
      <xdr:rowOff>8507</xdr:rowOff>
    </xdr:to>
    <xdr:sp macro="" textlink="' '!A95">
      <xdr:nvSpPr>
        <xdr:cNvPr id="16" name="Textfeld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085850" y="11984261"/>
          <a:ext cx="13716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83A8F04D-2197-4039-8C46-B0008972DD21}" type="TxLink">
            <a:rPr lang="de-CH" sz="1400" b="0"/>
            <a:pPr algn="ctr"/>
            <a:t>gering</a:t>
          </a:fld>
          <a:endParaRPr lang="de-CH" sz="1400" b="0"/>
        </a:p>
      </xdr:txBody>
    </xdr:sp>
    <xdr:clientData/>
  </xdr:twoCellAnchor>
  <xdr:twoCellAnchor editAs="oneCell">
    <xdr:from>
      <xdr:col>4</xdr:col>
      <xdr:colOff>381000</xdr:colOff>
      <xdr:row>51</xdr:row>
      <xdr:rowOff>86294</xdr:rowOff>
    </xdr:from>
    <xdr:to>
      <xdr:col>5</xdr:col>
      <xdr:colOff>1638300</xdr:colOff>
      <xdr:row>53</xdr:row>
      <xdr:rowOff>16790</xdr:rowOff>
    </xdr:to>
    <xdr:sp macro="" textlink="' '!A94">
      <xdr:nvSpPr>
        <xdr:cNvPr id="17" name="Textfeld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3867150" y="11992544"/>
          <a:ext cx="208597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A0A47CA1-CBB4-485B-A1D9-78BE76C65FD1}" type="TxLink">
            <a:rPr lang="de-CH" sz="1400" b="0"/>
            <a:pPr algn="ctr"/>
            <a:t>mittel</a:t>
          </a:fld>
          <a:endParaRPr lang="de-CH" sz="1400" b="0"/>
        </a:p>
      </xdr:txBody>
    </xdr:sp>
    <xdr:clientData/>
  </xdr:twoCellAnchor>
  <xdr:twoCellAnchor editAs="oneCell">
    <xdr:from>
      <xdr:col>1</xdr:col>
      <xdr:colOff>94506</xdr:colOff>
      <xdr:row>32</xdr:row>
      <xdr:rowOff>104775</xdr:rowOff>
    </xdr:from>
    <xdr:to>
      <xdr:col>2</xdr:col>
      <xdr:colOff>101202</xdr:colOff>
      <xdr:row>40</xdr:row>
      <xdr:rowOff>19052</xdr:rowOff>
    </xdr:to>
    <xdr:sp macro="" textlink="' '!A94">
      <xdr:nvSpPr>
        <xdr:cNvPr id="18" name="Textfeld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/>
      </xdr:nvSpPr>
      <xdr:spPr>
        <a:xfrm rot="16200000">
          <a:off x="-2160" y="8954916"/>
          <a:ext cx="143827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7FE7408E-BD4E-4A7B-8428-C749697BCCA7}" type="TxLink">
            <a:rPr lang="de-CH" sz="1400" b="0"/>
            <a:pPr algn="ctr"/>
            <a:t>mittel</a:t>
          </a:fld>
          <a:endParaRPr lang="de-CH" sz="1400" b="0"/>
        </a:p>
      </xdr:txBody>
    </xdr:sp>
    <xdr:clientData/>
  </xdr:twoCellAnchor>
  <xdr:twoCellAnchor editAs="oneCell">
    <xdr:from>
      <xdr:col>32</xdr:col>
      <xdr:colOff>300568</xdr:colOff>
      <xdr:row>15</xdr:row>
      <xdr:rowOff>278694</xdr:rowOff>
    </xdr:from>
    <xdr:to>
      <xdr:col>35</xdr:col>
      <xdr:colOff>350178</xdr:colOff>
      <xdr:row>22</xdr:row>
      <xdr:rowOff>103798</xdr:rowOff>
    </xdr:to>
    <xdr:grpSp>
      <xdr:nvGrpSpPr>
        <xdr:cNvPr id="19" name="Gruppieren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pSpPr/>
      </xdr:nvGrpSpPr>
      <xdr:grpSpPr>
        <a:xfrm rot="16200000">
          <a:off x="24438681" y="4426021"/>
          <a:ext cx="1570084" cy="2632790"/>
          <a:chOff x="5387738" y="3738354"/>
          <a:chExt cx="1898955" cy="999921"/>
        </a:xfrm>
      </xdr:grpSpPr>
      <xdr:sp macro="" textlink="">
        <xdr:nvSpPr>
          <xdr:cNvPr id="20" name="Rechteck 19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SpPr>
            <a:spLocks noChangeAspect="1"/>
          </xdr:cNvSpPr>
        </xdr:nvSpPr>
        <xdr:spPr>
          <a:xfrm>
            <a:off x="5419727" y="3738354"/>
            <a:ext cx="250562" cy="252000"/>
          </a:xfrm>
          <a:prstGeom prst="rect">
            <a:avLst/>
          </a:prstGeom>
          <a:solidFill>
            <a:schemeClr val="accent2">
              <a:lumMod val="20000"/>
              <a:lumOff val="8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21" name="Rechteck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>
            <a:spLocks noChangeAspect="1"/>
          </xdr:cNvSpPr>
        </xdr:nvSpPr>
        <xdr:spPr>
          <a:xfrm>
            <a:off x="5420199" y="4486275"/>
            <a:ext cx="250562" cy="252000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22" name="Rechteck 2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SpPr>
            <a:spLocks noChangeAspect="1"/>
          </xdr:cNvSpPr>
        </xdr:nvSpPr>
        <xdr:spPr>
          <a:xfrm>
            <a:off x="5419727" y="4105275"/>
            <a:ext cx="250562" cy="252000"/>
          </a:xfrm>
          <a:prstGeom prst="rect">
            <a:avLst/>
          </a:prstGeom>
          <a:solidFill>
            <a:schemeClr val="accent2">
              <a:lumMod val="40000"/>
              <a:lumOff val="6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' '!A97">
        <xdr:nvSpPr>
          <xdr:cNvPr id="23" name="Textfeld 22">
            <a:extLst>
              <a:ext uri="{FF2B5EF4-FFF2-40B4-BE49-F238E27FC236}">
                <a16:creationId xmlns:a16="http://schemas.microsoft.com/office/drawing/2014/main" id="{00000000-0008-0000-0300-000017000000}"/>
              </a:ext>
            </a:extLst>
          </xdr:cNvPr>
          <xdr:cNvSpPr txBox="1"/>
        </xdr:nvSpPr>
        <xdr:spPr>
          <a:xfrm>
            <a:off x="5427050" y="3828410"/>
            <a:ext cx="1735634" cy="1031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2455219B-7CCB-479F-8EBB-53EB1B59C06C}" type="TxLink">
              <a:rPr lang="de-CH" sz="1100"/>
              <a:pPr/>
              <a:t>Kein Handlungsbedarf</a:t>
            </a:fld>
            <a:endParaRPr lang="de-CH" sz="1100"/>
          </a:p>
        </xdr:txBody>
      </xdr:sp>
      <xdr:sp macro="" textlink="' '!A98">
        <xdr:nvSpPr>
          <xdr:cNvPr id="24" name="Textfeld 23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 txBox="1"/>
        </xdr:nvSpPr>
        <xdr:spPr>
          <a:xfrm>
            <a:off x="5496493" y="4190371"/>
            <a:ext cx="1398403" cy="1031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38C86722-4BE2-4C64-8837-096B9A69CBF6}" type="TxLink">
              <a:rPr lang="de-CH" sz="1100"/>
              <a:pPr/>
              <a:t>Handlungsbedarf</a:t>
            </a:fld>
            <a:endParaRPr lang="de-CH" sz="1100"/>
          </a:p>
        </xdr:txBody>
      </xdr:sp>
      <xdr:sp macro="" textlink="' '!A99">
        <xdr:nvSpPr>
          <xdr:cNvPr id="25" name="Textfeld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SpPr txBox="1"/>
        </xdr:nvSpPr>
        <xdr:spPr>
          <a:xfrm>
            <a:off x="5387738" y="4571370"/>
            <a:ext cx="1898955" cy="1031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0B08217B-D988-41BF-ACA6-265C229D1F55}" type="TxLink">
              <a:rPr lang="de-CH" sz="1100"/>
              <a:pPr/>
              <a:t>Akuter Handlungsbedarf</a:t>
            </a:fld>
            <a:endParaRPr lang="de-CH" sz="1100"/>
          </a:p>
        </xdr:txBody>
      </xdr:sp>
    </xdr:grpSp>
    <xdr:clientData/>
  </xdr:twoCellAnchor>
  <xdr:twoCellAnchor editAs="oneCell">
    <xdr:from>
      <xdr:col>8</xdr:col>
      <xdr:colOff>295274</xdr:colOff>
      <xdr:row>1</xdr:row>
      <xdr:rowOff>57150</xdr:rowOff>
    </xdr:from>
    <xdr:to>
      <xdr:col>8</xdr:col>
      <xdr:colOff>465749</xdr:colOff>
      <xdr:row>1</xdr:row>
      <xdr:rowOff>237150</xdr:rowOff>
    </xdr:to>
    <xdr:grpSp>
      <xdr:nvGrpSpPr>
        <xdr:cNvPr id="26" name="Gruppieren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pSpPr>
          <a:grpSpLocks noChangeAspect="1"/>
        </xdr:cNvGrpSpPr>
      </xdr:nvGrpSpPr>
      <xdr:grpSpPr>
        <a:xfrm>
          <a:off x="9164954" y="636270"/>
          <a:ext cx="170475" cy="180000"/>
          <a:chOff x="8105775" y="571500"/>
          <a:chExt cx="172800" cy="172800"/>
        </a:xfrm>
      </xdr:grpSpPr>
      <xdr:sp macro="" textlink="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8" name="Textfeld 27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53</xdr:row>
      <xdr:rowOff>66675</xdr:rowOff>
    </xdr:from>
    <xdr:to>
      <xdr:col>0</xdr:col>
      <xdr:colOff>381150</xdr:colOff>
      <xdr:row>56</xdr:row>
      <xdr:rowOff>1615</xdr:rowOff>
    </xdr:to>
    <xdr:grpSp>
      <xdr:nvGrpSpPr>
        <xdr:cNvPr id="32" name="Gruppieren 3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pSpPr/>
      </xdr:nvGrpSpPr>
      <xdr:grpSpPr>
        <a:xfrm>
          <a:off x="57150" y="12159615"/>
          <a:ext cx="324000" cy="308320"/>
          <a:chOff x="66675" y="4972050"/>
          <a:chExt cx="324000" cy="325465"/>
        </a:xfrm>
      </xdr:grpSpPr>
      <xdr:sp macro="" textlink="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0300-000021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4" name="Pfeil nach oben 33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76200</xdr:colOff>
      <xdr:row>3</xdr:row>
      <xdr:rowOff>0</xdr:rowOff>
    </xdr:from>
    <xdr:to>
      <xdr:col>0</xdr:col>
      <xdr:colOff>400200</xdr:colOff>
      <xdr:row>3</xdr:row>
      <xdr:rowOff>325465</xdr:rowOff>
    </xdr:to>
    <xdr:grpSp>
      <xdr:nvGrpSpPr>
        <xdr:cNvPr id="35" name="Gruppieren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pSpPr/>
      </xdr:nvGrpSpPr>
      <xdr:grpSpPr>
        <a:xfrm>
          <a:off x="76200" y="952500"/>
          <a:ext cx="324000" cy="325465"/>
          <a:chOff x="12382500" y="2152650"/>
          <a:chExt cx="324000" cy="325465"/>
        </a:xfrm>
      </xdr:grpSpPr>
      <xdr:sp macro="" textlink="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0300-000024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7" name="Grafik 36">
            <a:extLst>
              <a:ext uri="{FF2B5EF4-FFF2-40B4-BE49-F238E27FC236}">
                <a16:creationId xmlns:a16="http://schemas.microsoft.com/office/drawing/2014/main" id="{00000000-0008-0000-03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0</xdr:row>
      <xdr:rowOff>150495</xdr:rowOff>
    </xdr:from>
    <xdr:to>
      <xdr:col>0</xdr:col>
      <xdr:colOff>400200</xdr:colOff>
      <xdr:row>0</xdr:row>
      <xdr:rowOff>475960</xdr:rowOff>
    </xdr:to>
    <xdr:grpSp>
      <xdr:nvGrpSpPr>
        <xdr:cNvPr id="39" name="Gruppieren 3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pSpPr/>
      </xdr:nvGrpSpPr>
      <xdr:grpSpPr>
        <a:xfrm>
          <a:off x="76200" y="150495"/>
          <a:ext cx="324000" cy="325465"/>
          <a:chOff x="9191625" y="3009900"/>
          <a:chExt cx="324000" cy="325465"/>
        </a:xfrm>
      </xdr:grpSpPr>
      <xdr:sp macro="" textlink="">
        <xdr:nvSpPr>
          <xdr:cNvPr id="40" name="Rechteck 39">
            <a:extLst>
              <a:ext uri="{FF2B5EF4-FFF2-40B4-BE49-F238E27FC236}">
                <a16:creationId xmlns:a16="http://schemas.microsoft.com/office/drawing/2014/main" id="{00000000-0008-0000-0300-00002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1" name="Pfeil nach links 40">
            <a:extLst>
              <a:ext uri="{FF2B5EF4-FFF2-40B4-BE49-F238E27FC236}">
                <a16:creationId xmlns:a16="http://schemas.microsoft.com/office/drawing/2014/main" id="{00000000-0008-0000-0300-00002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209550</xdr:colOff>
      <xdr:row>21</xdr:row>
      <xdr:rowOff>133350</xdr:rowOff>
    </xdr:from>
    <xdr:to>
      <xdr:col>11</xdr:col>
      <xdr:colOff>180975</xdr:colOff>
      <xdr:row>51</xdr:row>
      <xdr:rowOff>142873</xdr:rowOff>
    </xdr:to>
    <xdr:graphicFrame macro="">
      <xdr:nvGraphicFramePr>
        <xdr:cNvPr id="38" name="Diagramm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</xdr:colOff>
          <xdr:row>0</xdr:row>
          <xdr:rowOff>22860</xdr:rowOff>
        </xdr:from>
        <xdr:to>
          <xdr:col>10</xdr:col>
          <xdr:colOff>5715</xdr:colOff>
          <xdr:row>0</xdr:row>
          <xdr:rowOff>556260</xdr:rowOff>
        </xdr:to>
        <xdr:pic>
          <xdr:nvPicPr>
            <xdr:cNvPr id="42" name="Grafik 59">
              <a:extLst>
                <a:ext uri="{FF2B5EF4-FFF2-40B4-BE49-F238E27FC236}">
                  <a16:creationId xmlns:a16="http://schemas.microsoft.com/office/drawing/2014/main" id="{00000000-0008-0000-0300-00002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34843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094220" y="22860"/>
              <a:ext cx="226885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2</xdr:row>
          <xdr:rowOff>560153</xdr:rowOff>
        </xdr:from>
        <xdr:to>
          <xdr:col>7</xdr:col>
          <xdr:colOff>2266950</xdr:colOff>
          <xdr:row>34</xdr:row>
          <xdr:rowOff>209550</xdr:rowOff>
        </xdr:to>
        <xdr:pic>
          <xdr:nvPicPr>
            <xdr:cNvPr id="2" name="Grafik 1">
              <a:extLst>
                <a:ext uri="{FF2B5EF4-FFF2-40B4-BE49-F238E27FC236}">
                  <a16:creationId xmlns:a16="http://schemas.microsoft.com/office/drawing/2014/main" id="{00000000-0008-0000-04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49:$I$60" spid="_x0000_s38384"/>
                </a:ext>
              </a:extLst>
            </xdr:cNvPicPr>
          </xdr:nvPicPr>
          <xdr:blipFill>
            <a:blip xmlns:r="http://schemas.openxmlformats.org/officeDocument/2006/relationships" r:embed="rId1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 rot="5400000">
              <a:off x="1408789" y="4094839"/>
              <a:ext cx="7717072" cy="21145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</xdr:col>
      <xdr:colOff>76197</xdr:colOff>
      <xdr:row>49</xdr:row>
      <xdr:rowOff>14287</xdr:rowOff>
    </xdr:from>
    <xdr:to>
      <xdr:col>9</xdr:col>
      <xdr:colOff>0</xdr:colOff>
      <xdr:row>58</xdr:row>
      <xdr:rowOff>133350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PrintsWithSheet="0"/>
  </xdr:twoCellAnchor>
  <xdr:twoCellAnchor>
    <xdr:from>
      <xdr:col>3</xdr:col>
      <xdr:colOff>285750</xdr:colOff>
      <xdr:row>53</xdr:row>
      <xdr:rowOff>47625</xdr:rowOff>
    </xdr:from>
    <xdr:to>
      <xdr:col>9</xdr:col>
      <xdr:colOff>0</xdr:colOff>
      <xdr:row>53</xdr:row>
      <xdr:rowOff>47625</xdr:rowOff>
    </xdr:to>
    <xdr:cxnSp macro="">
      <xdr:nvCxnSpPr>
        <xdr:cNvPr id="4" name="Gerade Verbindung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>
          <a:off x="1181100" y="18183225"/>
          <a:ext cx="8562975" cy="0"/>
        </a:xfrm>
        <a:prstGeom prst="line">
          <a:avLst/>
        </a:prstGeom>
        <a:ln w="158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2950845</xdr:colOff>
      <xdr:row>1</xdr:row>
      <xdr:rowOff>57149</xdr:rowOff>
    </xdr:from>
    <xdr:to>
      <xdr:col>8</xdr:col>
      <xdr:colOff>3130845</xdr:colOff>
      <xdr:row>2</xdr:row>
      <xdr:rowOff>37124</xdr:rowOff>
    </xdr:to>
    <xdr:grpSp>
      <xdr:nvGrpSpPr>
        <xdr:cNvPr id="8" name="Gruppier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pSpPr/>
      </xdr:nvGrpSpPr>
      <xdr:grpSpPr>
        <a:xfrm>
          <a:off x="9732645" y="628649"/>
          <a:ext cx="180000" cy="178095"/>
          <a:chOff x="8105775" y="571500"/>
          <a:chExt cx="172800" cy="172800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Textfeld 9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11" name="Gruppieren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/>
      </xdr:nvGrpSpPr>
      <xdr:grpSpPr>
        <a:xfrm>
          <a:off x="76200" y="114300"/>
          <a:ext cx="324000" cy="325465"/>
          <a:chOff x="9191625" y="30099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links 12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942975</xdr:colOff>
          <xdr:row>0</xdr:row>
          <xdr:rowOff>19050</xdr:rowOff>
        </xdr:from>
        <xdr:to>
          <xdr:col>8</xdr:col>
          <xdr:colOff>3150870</xdr:colOff>
          <xdr:row>0</xdr:row>
          <xdr:rowOff>552450</xdr:rowOff>
        </xdr:to>
        <xdr:pic>
          <xdr:nvPicPr>
            <xdr:cNvPr id="14" name="Grafik 59">
              <a:extLst>
                <a:ext uri="{FF2B5EF4-FFF2-40B4-BE49-F238E27FC236}">
                  <a16:creationId xmlns:a16="http://schemas.microsoft.com/office/drawing/2014/main" id="{00000000-0008-0000-04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38385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53427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25</xdr:row>
      <xdr:rowOff>28575</xdr:rowOff>
    </xdr:from>
    <xdr:to>
      <xdr:col>8</xdr:col>
      <xdr:colOff>466725</xdr:colOff>
      <xdr:row>54</xdr:row>
      <xdr:rowOff>76200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308610</xdr:colOff>
      <xdr:row>1</xdr:row>
      <xdr:rowOff>57150</xdr:rowOff>
    </xdr:from>
    <xdr:to>
      <xdr:col>8</xdr:col>
      <xdr:colOff>481410</xdr:colOff>
      <xdr:row>2</xdr:row>
      <xdr:rowOff>48975</xdr:rowOff>
    </xdr:to>
    <xdr:grpSp>
      <xdr:nvGrpSpPr>
        <xdr:cNvPr id="3" name="Gruppier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pSpPr/>
      </xdr:nvGrpSpPr>
      <xdr:grpSpPr>
        <a:xfrm>
          <a:off x="11319510" y="628650"/>
          <a:ext cx="172800" cy="167085"/>
          <a:chOff x="8105775" y="571500"/>
          <a:chExt cx="172800" cy="172800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6" name="Gruppier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500-00000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Pfeil nach links 7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76200</xdr:colOff>
      <xdr:row>3</xdr:row>
      <xdr:rowOff>0</xdr:rowOff>
    </xdr:from>
    <xdr:to>
      <xdr:col>0</xdr:col>
      <xdr:colOff>400200</xdr:colOff>
      <xdr:row>3</xdr:row>
      <xdr:rowOff>325465</xdr:rowOff>
    </xdr:to>
    <xdr:grpSp>
      <xdr:nvGrpSpPr>
        <xdr:cNvPr id="9" name="Gruppieren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76200" y="876300"/>
          <a:ext cx="324000" cy="325465"/>
          <a:chOff x="12382500" y="2152650"/>
          <a:chExt cx="324000" cy="325465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1" name="Grafik 10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52</xdr:row>
      <xdr:rowOff>114300</xdr:rowOff>
    </xdr:from>
    <xdr:to>
      <xdr:col>0</xdr:col>
      <xdr:colOff>400200</xdr:colOff>
      <xdr:row>54</xdr:row>
      <xdr:rowOff>58765</xdr:rowOff>
    </xdr:to>
    <xdr:grpSp>
      <xdr:nvGrpSpPr>
        <xdr:cNvPr id="12" name="Gruppieren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GrpSpPr/>
      </xdr:nvGrpSpPr>
      <xdr:grpSpPr>
        <a:xfrm>
          <a:off x="76200" y="12473940"/>
          <a:ext cx="324000" cy="310225"/>
          <a:chOff x="66675" y="4972050"/>
          <a:chExt cx="324000" cy="325465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0500-00000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Pfeil nach oben 13">
            <a:extLst>
              <a:ext uri="{FF2B5EF4-FFF2-40B4-BE49-F238E27FC236}">
                <a16:creationId xmlns:a16="http://schemas.microsoft.com/office/drawing/2014/main" id="{00000000-0008-0000-0500-00000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1638300</xdr:colOff>
          <xdr:row>0</xdr:row>
          <xdr:rowOff>19050</xdr:rowOff>
        </xdr:from>
        <xdr:to>
          <xdr:col>8</xdr:col>
          <xdr:colOff>493395</xdr:colOff>
          <xdr:row>0</xdr:row>
          <xdr:rowOff>552450</xdr:rowOff>
        </xdr:to>
        <xdr:pic>
          <xdr:nvPicPr>
            <xdr:cNvPr id="15" name="Grafik 59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0853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98207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25</xdr:row>
      <xdr:rowOff>28575</xdr:rowOff>
    </xdr:from>
    <xdr:to>
      <xdr:col>8</xdr:col>
      <xdr:colOff>466725</xdr:colOff>
      <xdr:row>54</xdr:row>
      <xdr:rowOff>76200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285750</xdr:colOff>
      <xdr:row>1</xdr:row>
      <xdr:rowOff>57150</xdr:rowOff>
    </xdr:from>
    <xdr:to>
      <xdr:col>8</xdr:col>
      <xdr:colOff>458550</xdr:colOff>
      <xdr:row>2</xdr:row>
      <xdr:rowOff>48975</xdr:rowOff>
    </xdr:to>
    <xdr:grpSp>
      <xdr:nvGrpSpPr>
        <xdr:cNvPr id="3" name="Gruppier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/>
      </xdr:nvGrpSpPr>
      <xdr:grpSpPr>
        <a:xfrm>
          <a:off x="11296650" y="628650"/>
          <a:ext cx="172800" cy="167085"/>
          <a:chOff x="8105775" y="571500"/>
          <a:chExt cx="172800" cy="172800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6" name="Gruppier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Pfeil nach links 7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76200</xdr:colOff>
      <xdr:row>3</xdr:row>
      <xdr:rowOff>0</xdr:rowOff>
    </xdr:from>
    <xdr:to>
      <xdr:col>0</xdr:col>
      <xdr:colOff>400200</xdr:colOff>
      <xdr:row>3</xdr:row>
      <xdr:rowOff>325465</xdr:rowOff>
    </xdr:to>
    <xdr:grpSp>
      <xdr:nvGrpSpPr>
        <xdr:cNvPr id="9" name="Gruppieren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GrpSpPr/>
      </xdr:nvGrpSpPr>
      <xdr:grpSpPr>
        <a:xfrm>
          <a:off x="76200" y="876300"/>
          <a:ext cx="324000" cy="325465"/>
          <a:chOff x="12382500" y="2152650"/>
          <a:chExt cx="324000" cy="325465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1" name="Grafik 10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52</xdr:row>
      <xdr:rowOff>114300</xdr:rowOff>
    </xdr:from>
    <xdr:to>
      <xdr:col>0</xdr:col>
      <xdr:colOff>400200</xdr:colOff>
      <xdr:row>54</xdr:row>
      <xdr:rowOff>58765</xdr:rowOff>
    </xdr:to>
    <xdr:grpSp>
      <xdr:nvGrpSpPr>
        <xdr:cNvPr id="12" name="Gruppieren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GrpSpPr/>
      </xdr:nvGrpSpPr>
      <xdr:grpSpPr>
        <a:xfrm>
          <a:off x="76200" y="12473940"/>
          <a:ext cx="324000" cy="310225"/>
          <a:chOff x="66675" y="4972050"/>
          <a:chExt cx="324000" cy="325465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0600-00000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Pfeil nach oben 13">
            <a:extLst>
              <a:ext uri="{FF2B5EF4-FFF2-40B4-BE49-F238E27FC236}">
                <a16:creationId xmlns:a16="http://schemas.microsoft.com/office/drawing/2014/main" id="{00000000-0008-0000-0600-00000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1638300</xdr:colOff>
          <xdr:row>0</xdr:row>
          <xdr:rowOff>19050</xdr:rowOff>
        </xdr:from>
        <xdr:to>
          <xdr:col>8</xdr:col>
          <xdr:colOff>493395</xdr:colOff>
          <xdr:row>0</xdr:row>
          <xdr:rowOff>552450</xdr:rowOff>
        </xdr:to>
        <xdr:pic>
          <xdr:nvPicPr>
            <xdr:cNvPr id="15" name="Grafik 59">
              <a:extLst>
                <a:ext uri="{FF2B5EF4-FFF2-40B4-BE49-F238E27FC236}">
                  <a16:creationId xmlns:a16="http://schemas.microsoft.com/office/drawing/2014/main" id="{00000000-0008-0000-0600-00000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1877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98207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3</xdr:row>
      <xdr:rowOff>9525</xdr:rowOff>
    </xdr:from>
    <xdr:to>
      <xdr:col>0</xdr:col>
      <xdr:colOff>390675</xdr:colOff>
      <xdr:row>3</xdr:row>
      <xdr:rowOff>334990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/>
      </xdr:nvGrpSpPr>
      <xdr:grpSpPr>
        <a:xfrm>
          <a:off x="66675" y="885825"/>
          <a:ext cx="324000" cy="325465"/>
          <a:chOff x="12382500" y="2152650"/>
          <a:chExt cx="324000" cy="325465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700-000003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7</xdr:col>
      <xdr:colOff>285750</xdr:colOff>
      <xdr:row>1</xdr:row>
      <xdr:rowOff>57150</xdr:rowOff>
    </xdr:from>
    <xdr:to>
      <xdr:col>7</xdr:col>
      <xdr:colOff>458550</xdr:colOff>
      <xdr:row>2</xdr:row>
      <xdr:rowOff>48975</xdr:rowOff>
    </xdr:to>
    <xdr:grpSp>
      <xdr:nvGrpSpPr>
        <xdr:cNvPr id="8" name="Gruppier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/>
      </xdr:nvGrpSpPr>
      <xdr:grpSpPr>
        <a:xfrm>
          <a:off x="8911590" y="628650"/>
          <a:ext cx="172800" cy="167085"/>
          <a:chOff x="8105775" y="571500"/>
          <a:chExt cx="172800" cy="172800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Textfeld 9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2</xdr:col>
      <xdr:colOff>302083</xdr:colOff>
      <xdr:row>26</xdr:row>
      <xdr:rowOff>47182</xdr:rowOff>
    </xdr:from>
    <xdr:to>
      <xdr:col>3</xdr:col>
      <xdr:colOff>425682</xdr:colOff>
      <xdr:row>36</xdr:row>
      <xdr:rowOff>141682</xdr:rowOff>
    </xdr:to>
    <xdr:sp macro="" textlink="">
      <xdr:nvSpPr>
        <xdr:cNvPr id="11" name="Rechteck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Aspect="1"/>
        </xdr:cNvSpPr>
      </xdr:nvSpPr>
      <xdr:spPr>
        <a:xfrm>
          <a:off x="1073608" y="7714807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302083</xdr:colOff>
      <xdr:row>36</xdr:row>
      <xdr:rowOff>188832</xdr:rowOff>
    </xdr:from>
    <xdr:to>
      <xdr:col>3</xdr:col>
      <xdr:colOff>425682</xdr:colOff>
      <xdr:row>46</xdr:row>
      <xdr:rowOff>283332</xdr:rowOff>
    </xdr:to>
    <xdr:sp macro="" textlink="">
      <xdr:nvSpPr>
        <xdr:cNvPr id="12" name="Rechteck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Aspect="1"/>
        </xdr:cNvSpPr>
      </xdr:nvSpPr>
      <xdr:spPr>
        <a:xfrm>
          <a:off x="1073608" y="10713957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3</xdr:col>
      <xdr:colOff>477363</xdr:colOff>
      <xdr:row>26</xdr:row>
      <xdr:rowOff>47182</xdr:rowOff>
    </xdr:from>
    <xdr:to>
      <xdr:col>6</xdr:col>
      <xdr:colOff>1676763</xdr:colOff>
      <xdr:row>36</xdr:row>
      <xdr:rowOff>141682</xdr:rowOff>
    </xdr:to>
    <xdr:sp macro="" textlink="">
      <xdr:nvSpPr>
        <xdr:cNvPr id="13" name="Rechteck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Aspect="1"/>
        </xdr:cNvSpPr>
      </xdr:nvSpPr>
      <xdr:spPr>
        <a:xfrm>
          <a:off x="4077813" y="7714807"/>
          <a:ext cx="2952000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3</xdr:col>
      <xdr:colOff>477363</xdr:colOff>
      <xdr:row>36</xdr:row>
      <xdr:rowOff>188832</xdr:rowOff>
    </xdr:from>
    <xdr:to>
      <xdr:col>6</xdr:col>
      <xdr:colOff>1676763</xdr:colOff>
      <xdr:row>46</xdr:row>
      <xdr:rowOff>283332</xdr:rowOff>
    </xdr:to>
    <xdr:sp macro="" textlink="">
      <xdr:nvSpPr>
        <xdr:cNvPr id="14" name="Rechteck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Aspect="1"/>
        </xdr:cNvSpPr>
      </xdr:nvSpPr>
      <xdr:spPr>
        <a:xfrm>
          <a:off x="4077813" y="10713957"/>
          <a:ext cx="2952000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oneCellAnchor>
    <xdr:from>
      <xdr:col>0</xdr:col>
      <xdr:colOff>334220</xdr:colOff>
      <xdr:row>26</xdr:row>
      <xdr:rowOff>47625</xdr:rowOff>
    </xdr:from>
    <xdr:ext cx="342786" cy="6010278"/>
    <xdr:sp macro="" textlink="' '!A533">
      <xdr:nvSpPr>
        <xdr:cNvPr id="15" name="Textfeld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/>
      </xdr:nvSpPr>
      <xdr:spPr>
        <a:xfrm rot="16200000">
          <a:off x="-2499526" y="10539471"/>
          <a:ext cx="601027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7033CBE0-F650-4602-B178-28EA1F21EA75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wichtig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266700</xdr:colOff>
      <xdr:row>48</xdr:row>
      <xdr:rowOff>104378</xdr:rowOff>
    </xdr:from>
    <xdr:ext cx="6000750" cy="342786"/>
    <xdr:sp macro="" textlink="' '!A534">
      <xdr:nvSpPr>
        <xdr:cNvPr id="16" name="Textfeld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/>
      </xdr:nvSpPr>
      <xdr:spPr>
        <a:xfrm>
          <a:off x="1038225" y="14048978"/>
          <a:ext cx="60007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92FB4CA9-4896-4401-93B0-18D24E3A161E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dringend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1</xdr:col>
      <xdr:colOff>35294</xdr:colOff>
      <xdr:row>26</xdr:row>
      <xdr:rowOff>262771</xdr:rowOff>
    </xdr:from>
    <xdr:ext cx="311496" cy="664284"/>
    <xdr:sp macro="" textlink="' '!A42">
      <xdr:nvSpPr>
        <xdr:cNvPr id="17" name="Textfeld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/>
      </xdr:nvSpPr>
      <xdr:spPr>
        <a:xfrm rot="16200000">
          <a:off x="325625" y="8097265"/>
          <a:ext cx="66428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indent="0" algn="ctr"/>
          <a:fld id="{734711BF-9BD8-4F4D-9247-C84B8F4B71BF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hoch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1</xdr:col>
      <xdr:colOff>54342</xdr:colOff>
      <xdr:row>44</xdr:row>
      <xdr:rowOff>47037</xdr:rowOff>
    </xdr:from>
    <xdr:ext cx="311496" cy="591509"/>
    <xdr:sp macro="" textlink="' '!A43">
      <xdr:nvSpPr>
        <xdr:cNvPr id="18" name="Textfeld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/>
      </xdr:nvSpPr>
      <xdr:spPr>
        <a:xfrm rot="16200000">
          <a:off x="381060" y="12988644"/>
          <a:ext cx="59150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indent="0" algn="ctr"/>
          <a:fld id="{7920A7EF-F7D7-42E2-B3AF-990C25630BFB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gering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853720</xdr:colOff>
      <xdr:row>47</xdr:row>
      <xdr:rowOff>234557</xdr:rowOff>
    </xdr:from>
    <xdr:ext cx="664284" cy="311496"/>
    <xdr:sp macro="" textlink="' '!A42">
      <xdr:nvSpPr>
        <xdr:cNvPr id="19" name="Textfeld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/>
      </xdr:nvSpPr>
      <xdr:spPr>
        <a:xfrm>
          <a:off x="6206770" y="13893407"/>
          <a:ext cx="66428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indent="0" algn="ctr"/>
          <a:fld id="{529E0DB3-5987-412E-B762-391890562B39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hoch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505151</xdr:colOff>
      <xdr:row>47</xdr:row>
      <xdr:rowOff>234557</xdr:rowOff>
    </xdr:from>
    <xdr:ext cx="591508" cy="311496"/>
    <xdr:sp macro="" textlink="' '!A43">
      <xdr:nvSpPr>
        <xdr:cNvPr id="20" name="Textfeld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/>
      </xdr:nvSpPr>
      <xdr:spPr>
        <a:xfrm>
          <a:off x="1276676" y="13893407"/>
          <a:ext cx="59150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indent="0" algn="ctr"/>
          <a:fld id="{C05130B6-5346-471C-BAD7-88A68E8569F0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gering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 editAs="oneCell">
    <xdr:from>
      <xdr:col>4</xdr:col>
      <xdr:colOff>9525</xdr:colOff>
      <xdr:row>26</xdr:row>
      <xdr:rowOff>95250</xdr:rowOff>
    </xdr:from>
    <xdr:to>
      <xdr:col>6</xdr:col>
      <xdr:colOff>1619251</xdr:colOff>
      <xdr:row>27</xdr:row>
      <xdr:rowOff>214932</xdr:rowOff>
    </xdr:to>
    <xdr:sp macro="" textlink="' '!A542">
      <xdr:nvSpPr>
        <xdr:cNvPr id="21" name="TextBox 124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/>
      </xdr:nvSpPr>
      <xdr:spPr>
        <a:xfrm>
          <a:off x="4152900" y="77628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28A259C1-A08A-4185-B0E0-C5B1F2BA632C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do it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66675</xdr:colOff>
      <xdr:row>23</xdr:row>
      <xdr:rowOff>0</xdr:rowOff>
    </xdr:from>
    <xdr:to>
      <xdr:col>0</xdr:col>
      <xdr:colOff>390675</xdr:colOff>
      <xdr:row>24</xdr:row>
      <xdr:rowOff>30190</xdr:rowOff>
    </xdr:to>
    <xdr:grpSp>
      <xdr:nvGrpSpPr>
        <xdr:cNvPr id="22" name="Gruppieren 2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/>
      </xdr:nvGrpSpPr>
      <xdr:grpSpPr>
        <a:xfrm>
          <a:off x="66675" y="6949440"/>
          <a:ext cx="324000" cy="327370"/>
          <a:chOff x="66675" y="4972050"/>
          <a:chExt cx="324000" cy="325465"/>
        </a:xfrm>
      </xdr:grpSpPr>
      <xdr:sp macro="" textlink="">
        <xdr:nvSpPr>
          <xdr:cNvPr id="23" name="Rechteck 22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" name="Pfeil nach oben 23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46</xdr:row>
      <xdr:rowOff>219075</xdr:rowOff>
    </xdr:from>
    <xdr:to>
      <xdr:col>0</xdr:col>
      <xdr:colOff>390675</xdr:colOff>
      <xdr:row>47</xdr:row>
      <xdr:rowOff>258790</xdr:rowOff>
    </xdr:to>
    <xdr:grpSp>
      <xdr:nvGrpSpPr>
        <xdr:cNvPr id="25" name="Gruppieren 2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/>
      </xdr:nvGrpSpPr>
      <xdr:grpSpPr>
        <a:xfrm>
          <a:off x="66675" y="13569315"/>
          <a:ext cx="324000" cy="321655"/>
          <a:chOff x="66675" y="4972050"/>
          <a:chExt cx="324000" cy="325465"/>
        </a:xfrm>
      </xdr:grpSpPr>
      <xdr:sp macro="" textlink="">
        <xdr:nvSpPr>
          <xdr:cNvPr id="26" name="Rechteck 25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7" name="Pfeil nach oben 26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2</xdr:col>
      <xdr:colOff>371474</xdr:colOff>
      <xdr:row>26</xdr:row>
      <xdr:rowOff>95250</xdr:rowOff>
    </xdr:from>
    <xdr:to>
      <xdr:col>3</xdr:col>
      <xdr:colOff>361950</xdr:colOff>
      <xdr:row>27</xdr:row>
      <xdr:rowOff>214932</xdr:rowOff>
    </xdr:to>
    <xdr:sp macro="" textlink="' '!A541">
      <xdr:nvSpPr>
        <xdr:cNvPr id="28" name="TextBox 2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/>
      </xdr:nvSpPr>
      <xdr:spPr>
        <a:xfrm>
          <a:off x="1142999" y="77628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D89D3393-A7C2-41EF-83C7-F9250723FE6A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think first about it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457199</xdr:colOff>
      <xdr:row>45</xdr:row>
      <xdr:rowOff>95250</xdr:rowOff>
    </xdr:from>
    <xdr:to>
      <xdr:col>3</xdr:col>
      <xdr:colOff>447675</xdr:colOff>
      <xdr:row>46</xdr:row>
      <xdr:rowOff>214932</xdr:rowOff>
    </xdr:to>
    <xdr:sp macro="" textlink="' '!A544">
      <xdr:nvSpPr>
        <xdr:cNvPr id="29" name="TextBox 122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/>
      </xdr:nvSpPr>
      <xdr:spPr>
        <a:xfrm>
          <a:off x="1228724" y="13220700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8D7DBB62-1700-46AB-8F95-625A54D8B68B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delegate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4</xdr:col>
      <xdr:colOff>85724</xdr:colOff>
      <xdr:row>45</xdr:row>
      <xdr:rowOff>95250</xdr:rowOff>
    </xdr:from>
    <xdr:to>
      <xdr:col>6</xdr:col>
      <xdr:colOff>1695450</xdr:colOff>
      <xdr:row>46</xdr:row>
      <xdr:rowOff>214932</xdr:rowOff>
    </xdr:to>
    <xdr:sp macro="" textlink="' '!A543">
      <xdr:nvSpPr>
        <xdr:cNvPr id="30" name="TextBox 123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/>
      </xdr:nvSpPr>
      <xdr:spPr>
        <a:xfrm>
          <a:off x="4229099" y="13220700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6E6E7B2B-11AE-4059-B1F2-B69520ADBC4E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forget it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37" name="Gruppieren 3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/>
      </xdr:nvGrpSpPr>
      <xdr:grpSpPr>
        <a:xfrm>
          <a:off x="66675" y="104775"/>
          <a:ext cx="324000" cy="325465"/>
          <a:chOff x="9191625" y="3009900"/>
          <a:chExt cx="324000" cy="325465"/>
        </a:xfrm>
      </xdr:grpSpPr>
      <xdr:sp macro="" textlink="">
        <xdr:nvSpPr>
          <xdr:cNvPr id="38" name="Rechteck 37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9" name="Pfeil nach links 38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60137</xdr:colOff>
      <xdr:row>25</xdr:row>
      <xdr:rowOff>200025</xdr:rowOff>
    </xdr:from>
    <xdr:to>
      <xdr:col>6</xdr:col>
      <xdr:colOff>1888753</xdr:colOff>
      <xdr:row>48</xdr:row>
      <xdr:rowOff>47625</xdr:rowOff>
    </xdr:to>
    <xdr:graphicFrame macro="">
      <xdr:nvGraphicFramePr>
        <xdr:cNvPr id="35" name="Diagramm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1295400</xdr:colOff>
          <xdr:row>0</xdr:row>
          <xdr:rowOff>19050</xdr:rowOff>
        </xdr:from>
        <xdr:to>
          <xdr:col>7</xdr:col>
          <xdr:colOff>464820</xdr:colOff>
          <xdr:row>0</xdr:row>
          <xdr:rowOff>552450</xdr:rowOff>
        </xdr:to>
        <xdr:pic>
          <xdr:nvPicPr>
            <xdr:cNvPr id="32" name="Grafik 59">
              <a:extLst>
                <a:ext uri="{FF2B5EF4-FFF2-40B4-BE49-F238E27FC236}">
                  <a16:creationId xmlns:a16="http://schemas.microsoft.com/office/drawing/2014/main" id="{00000000-0008-0000-0700-00002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2901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648450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561975</xdr:rowOff>
    </xdr:from>
    <xdr:to>
      <xdr:col>3</xdr:col>
      <xdr:colOff>266700</xdr:colOff>
      <xdr:row>4</xdr:row>
      <xdr:rowOff>133350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Aspect="1"/>
        </xdr:cNvSpPr>
      </xdr:nvSpPr>
      <xdr:spPr bwMode="auto">
        <a:xfrm>
          <a:off x="485775" y="561975"/>
          <a:ext cx="392430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="horz" wrap="square" lIns="0" tIns="0" rIns="0" bIns="0" numCol="1" rtlCol="0" anchor="ctr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charset="0"/>
            </a:rPr>
            <a:t>S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6">
                <a:lumMod val="60000"/>
                <a:lumOff val="40000"/>
              </a:schemeClr>
            </a:solidFill>
            <a:effectLst/>
            <a:latin typeface="Arial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9525</xdr:colOff>
      <xdr:row>0</xdr:row>
      <xdr:rowOff>561975</xdr:rowOff>
    </xdr:from>
    <xdr:to>
      <xdr:col>7</xdr:col>
      <xdr:colOff>238125</xdr:colOff>
      <xdr:row>4</xdr:row>
      <xdr:rowOff>133350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spect="1"/>
        </xdr:cNvSpPr>
      </xdr:nvSpPr>
      <xdr:spPr bwMode="auto">
        <a:xfrm>
          <a:off x="6515100" y="561975"/>
          <a:ext cx="392430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="horz" wrap="square" lIns="0" tIns="0" rIns="0" bIns="0" numCol="1" rtlCol="0" anchor="ctr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6">
                  <a:lumMod val="60000"/>
                  <a:lumOff val="40000"/>
                </a:schemeClr>
              </a:solidFill>
              <a:effectLst/>
              <a:latin typeface="Arial" charset="0"/>
            </a:rPr>
            <a:t>W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6">
                <a:lumMod val="60000"/>
                <a:lumOff val="40000"/>
              </a:schemeClr>
            </a:solidFill>
            <a:effectLst/>
            <a:latin typeface="Arial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0</xdr:colOff>
      <xdr:row>23</xdr:row>
      <xdr:rowOff>9525</xdr:rowOff>
    </xdr:from>
    <xdr:to>
      <xdr:col>3</xdr:col>
      <xdr:colOff>247650</xdr:colOff>
      <xdr:row>23</xdr:row>
      <xdr:rowOff>676275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spect="1"/>
        </xdr:cNvSpPr>
      </xdr:nvSpPr>
      <xdr:spPr bwMode="auto">
        <a:xfrm>
          <a:off x="466725" y="5886450"/>
          <a:ext cx="392430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vert="horz" wrap="none" lIns="0" tIns="0" rIns="0" bIns="0" numCol="1" rtlCol="0" anchor="b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latin typeface="Arial" charset="0"/>
            </a:rPr>
            <a:t>O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2">
                <a:lumMod val="60000"/>
                <a:lumOff val="40000"/>
              </a:schemeClr>
            </a:solidFill>
            <a:effectLst/>
            <a:latin typeface="Arial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9525</xdr:colOff>
      <xdr:row>23</xdr:row>
      <xdr:rowOff>9525</xdr:rowOff>
    </xdr:from>
    <xdr:to>
      <xdr:col>7</xdr:col>
      <xdr:colOff>238125</xdr:colOff>
      <xdr:row>23</xdr:row>
      <xdr:rowOff>676275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Aspect="1"/>
        </xdr:cNvSpPr>
      </xdr:nvSpPr>
      <xdr:spPr bwMode="auto">
        <a:xfrm>
          <a:off x="6496050" y="5886450"/>
          <a:ext cx="392430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vert="horz" wrap="none" lIns="0" tIns="0" rIns="0" bIns="0" numCol="1" rtlCol="0" anchor="b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4">
                  <a:lumMod val="60000"/>
                  <a:lumOff val="40000"/>
                </a:schemeClr>
              </a:solidFill>
              <a:effectLst/>
              <a:latin typeface="Arial" charset="0"/>
            </a:rPr>
            <a:t>T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4">
                <a:lumMod val="60000"/>
                <a:lumOff val="40000"/>
              </a:schemeClr>
            </a:solidFill>
            <a:effectLst/>
            <a:latin typeface="Arial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114300</xdr:colOff>
      <xdr:row>2</xdr:row>
      <xdr:rowOff>47625</xdr:rowOff>
    </xdr:from>
    <xdr:to>
      <xdr:col>7</xdr:col>
      <xdr:colOff>287100</xdr:colOff>
      <xdr:row>2</xdr:row>
      <xdr:rowOff>220425</xdr:rowOff>
    </xdr:to>
    <xdr:grpSp>
      <xdr:nvGrpSpPr>
        <xdr:cNvPr id="6" name="Gruppieren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pSpPr/>
      </xdr:nvGrpSpPr>
      <xdr:grpSpPr>
        <a:xfrm>
          <a:off x="10607040" y="626745"/>
          <a:ext cx="172800" cy="172800"/>
          <a:chOff x="8105775" y="571500"/>
          <a:chExt cx="172800" cy="172800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Textfeld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66675</xdr:colOff>
      <xdr:row>22</xdr:row>
      <xdr:rowOff>0</xdr:rowOff>
    </xdr:from>
    <xdr:to>
      <xdr:col>0</xdr:col>
      <xdr:colOff>390675</xdr:colOff>
      <xdr:row>22</xdr:row>
      <xdr:rowOff>325465</xdr:rowOff>
    </xdr:to>
    <xdr:grpSp>
      <xdr:nvGrpSpPr>
        <xdr:cNvPr id="12" name="Gruppieren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GrpSpPr/>
      </xdr:nvGrpSpPr>
      <xdr:grpSpPr>
        <a:xfrm>
          <a:off x="66675" y="7536180"/>
          <a:ext cx="324000" cy="325465"/>
          <a:chOff x="66675" y="4972050"/>
          <a:chExt cx="324000" cy="325465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Pfeil nach oben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41</xdr:row>
      <xdr:rowOff>0</xdr:rowOff>
    </xdr:from>
    <xdr:to>
      <xdr:col>0</xdr:col>
      <xdr:colOff>390675</xdr:colOff>
      <xdr:row>41</xdr:row>
      <xdr:rowOff>325465</xdr:rowOff>
    </xdr:to>
    <xdr:grpSp>
      <xdr:nvGrpSpPr>
        <xdr:cNvPr id="15" name="Gruppieren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GrpSpPr/>
      </xdr:nvGrpSpPr>
      <xdr:grpSpPr>
        <a:xfrm>
          <a:off x="66675" y="14843760"/>
          <a:ext cx="324000" cy="325465"/>
          <a:chOff x="66675" y="4972050"/>
          <a:chExt cx="324000" cy="325465"/>
        </a:xfrm>
      </xdr:grpSpPr>
      <xdr:sp macro="" textlink="">
        <xdr:nvSpPr>
          <xdr:cNvPr id="16" name="Rechteck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" name="Pfeil nach oben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>
    <xdr:from>
      <xdr:col>10</xdr:col>
      <xdr:colOff>247649</xdr:colOff>
      <xdr:row>65</xdr:row>
      <xdr:rowOff>95250</xdr:rowOff>
    </xdr:from>
    <xdr:to>
      <xdr:col>26</xdr:col>
      <xdr:colOff>190500</xdr:colOff>
      <xdr:row>75</xdr:row>
      <xdr:rowOff>166688</xdr:rowOff>
    </xdr:to>
    <xdr:graphicFrame macro="">
      <xdr:nvGraphicFramePr>
        <xdr:cNvPr id="18" name="Diagramm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95248</xdr:colOff>
          <xdr:row>3</xdr:row>
          <xdr:rowOff>19049</xdr:rowOff>
        </xdr:from>
        <xdr:to>
          <xdr:col>4</xdr:col>
          <xdr:colOff>1981199</xdr:colOff>
          <xdr:row>23</xdr:row>
          <xdr:rowOff>314325</xdr:rowOff>
        </xdr:to>
        <xdr:pic>
          <xdr:nvPicPr>
            <xdr:cNvPr id="19" name="Grafik 18">
              <a:extLst>
                <a:ext uri="{FF2B5EF4-FFF2-40B4-BE49-F238E27FC236}">
                  <a16:creationId xmlns:a16="http://schemas.microsoft.com/office/drawing/2014/main" id="{00000000-0008-0000-0800-00001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K$65:$AA$77" spid="_x0000_s19403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 rot="5400000">
              <a:off x="1681161" y="3719511"/>
              <a:ext cx="7591426" cy="1885951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10</xdr:col>
      <xdr:colOff>66674</xdr:colOff>
      <xdr:row>78</xdr:row>
      <xdr:rowOff>76200</xdr:rowOff>
    </xdr:from>
    <xdr:to>
      <xdr:col>26</xdr:col>
      <xdr:colOff>200025</xdr:colOff>
      <xdr:row>89</xdr:row>
      <xdr:rowOff>157163</xdr:rowOff>
    </xdr:to>
    <xdr:graphicFrame macro="">
      <xdr:nvGraphicFramePr>
        <xdr:cNvPr id="20" name="Diagramm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23</xdr:row>
          <xdr:rowOff>404822</xdr:rowOff>
        </xdr:from>
        <xdr:to>
          <xdr:col>4</xdr:col>
          <xdr:colOff>1895475</xdr:colOff>
          <xdr:row>43</xdr:row>
          <xdr:rowOff>123829</xdr:rowOff>
        </xdr:to>
        <xdr:pic>
          <xdr:nvPicPr>
            <xdr:cNvPr id="21" name="Grafik 20">
              <a:extLst>
                <a:ext uri="{FF2B5EF4-FFF2-40B4-BE49-F238E27FC236}">
                  <a16:creationId xmlns:a16="http://schemas.microsoft.com/office/drawing/2014/main" id="{00000000-0008-0000-0800-00001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K$79:$AA$90" spid="_x0000_s19404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 rot="5400000">
              <a:off x="1764509" y="11403813"/>
              <a:ext cx="7424732" cy="1714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4</xdr:col>
      <xdr:colOff>1047750</xdr:colOff>
      <xdr:row>4</xdr:row>
      <xdr:rowOff>76200</xdr:rowOff>
    </xdr:from>
    <xdr:to>
      <xdr:col>4</xdr:col>
      <xdr:colOff>1047750</xdr:colOff>
      <xdr:row>23</xdr:row>
      <xdr:rowOff>114300</xdr:rowOff>
    </xdr:to>
    <xdr:cxnSp macro="">
      <xdr:nvCxnSpPr>
        <xdr:cNvPr id="22" name="Gerade Verbindung 3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CxnSpPr/>
      </xdr:nvCxnSpPr>
      <xdr:spPr>
        <a:xfrm>
          <a:off x="5486400" y="1171575"/>
          <a:ext cx="0" cy="70866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1019175</xdr:colOff>
      <xdr:row>23</xdr:row>
      <xdr:rowOff>638175</xdr:rowOff>
    </xdr:from>
    <xdr:to>
      <xdr:col>4</xdr:col>
      <xdr:colOff>1019175</xdr:colOff>
      <xdr:row>42</xdr:row>
      <xdr:rowOff>152400</xdr:rowOff>
    </xdr:to>
    <xdr:cxnSp macro="">
      <xdr:nvCxnSpPr>
        <xdr:cNvPr id="23" name="Gerade Verbindung 46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CxnSpPr/>
      </xdr:nvCxnSpPr>
      <xdr:spPr>
        <a:xfrm>
          <a:off x="5457825" y="8782050"/>
          <a:ext cx="0" cy="705802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32" name="Gruppieren 3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0800-00002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4" name="Pfeil nach links 33">
            <a:extLst>
              <a:ext uri="{FF2B5EF4-FFF2-40B4-BE49-F238E27FC236}">
                <a16:creationId xmlns:a16="http://schemas.microsoft.com/office/drawing/2014/main" id="{00000000-0008-0000-0800-00002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1485900</xdr:colOff>
          <xdr:row>0</xdr:row>
          <xdr:rowOff>19050</xdr:rowOff>
        </xdr:from>
        <xdr:to>
          <xdr:col>7</xdr:col>
          <xdr:colOff>283845</xdr:colOff>
          <xdr:row>0</xdr:row>
          <xdr:rowOff>552450</xdr:rowOff>
        </xdr:to>
        <xdr:pic>
          <xdr:nvPicPr>
            <xdr:cNvPr id="24" name="Grafik 59">
              <a:extLst>
                <a:ext uri="{FF2B5EF4-FFF2-40B4-BE49-F238E27FC236}">
                  <a16:creationId xmlns:a16="http://schemas.microsoft.com/office/drawing/2014/main" id="{00000000-0008-0000-0800-00001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9405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27722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466725</xdr:colOff>
      <xdr:row>6</xdr:row>
      <xdr:rowOff>104775</xdr:rowOff>
    </xdr:from>
    <xdr:to>
      <xdr:col>6</xdr:col>
      <xdr:colOff>695325</xdr:colOff>
      <xdr:row>13</xdr:row>
      <xdr:rowOff>2744042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614695</xdr:colOff>
      <xdr:row>10</xdr:row>
      <xdr:rowOff>171450</xdr:rowOff>
    </xdr:from>
    <xdr:to>
      <xdr:col>6</xdr:col>
      <xdr:colOff>586720</xdr:colOff>
      <xdr:row>12</xdr:row>
      <xdr:rowOff>186450</xdr:rowOff>
    </xdr:to>
    <xdr:sp macro="" textlink="">
      <xdr:nvSpPr>
        <xdr:cNvPr id="3" name="Abgerundetes Rechteck 2">
          <a:hlinkClick xmlns:r="http://schemas.openxmlformats.org/officeDocument/2006/relationships" r:id="rId2" tooltip="Pestle - Ökonomisch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6053470" y="2228850"/>
          <a:ext cx="1296000" cy="396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Economic</a:t>
          </a:r>
        </a:p>
      </xdr:txBody>
    </xdr:sp>
    <xdr:clientData/>
  </xdr:twoCellAnchor>
  <xdr:twoCellAnchor editAs="oneCell">
    <xdr:from>
      <xdr:col>4</xdr:col>
      <xdr:colOff>619300</xdr:colOff>
      <xdr:row>13</xdr:row>
      <xdr:rowOff>1647825</xdr:rowOff>
    </xdr:from>
    <xdr:to>
      <xdr:col>6</xdr:col>
      <xdr:colOff>591325</xdr:colOff>
      <xdr:row>13</xdr:row>
      <xdr:rowOff>2043825</xdr:rowOff>
    </xdr:to>
    <xdr:sp macro="" textlink="">
      <xdr:nvSpPr>
        <xdr:cNvPr id="4" name="Abgerundetes Rechteck 3">
          <a:hlinkClick xmlns:r="http://schemas.openxmlformats.org/officeDocument/2006/relationships" r:id="rId3" tooltip="Pestle - Soziologisch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6058075" y="4276725"/>
          <a:ext cx="1296000" cy="396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Social</a:t>
          </a:r>
        </a:p>
      </xdr:txBody>
    </xdr:sp>
    <xdr:clientData/>
  </xdr:twoCellAnchor>
  <xdr:twoCellAnchor editAs="oneCell">
    <xdr:from>
      <xdr:col>3</xdr:col>
      <xdr:colOff>924004</xdr:colOff>
      <xdr:row>13</xdr:row>
      <xdr:rowOff>2838450</xdr:rowOff>
    </xdr:from>
    <xdr:to>
      <xdr:col>3</xdr:col>
      <xdr:colOff>2220004</xdr:colOff>
      <xdr:row>13</xdr:row>
      <xdr:rowOff>3234450</xdr:rowOff>
    </xdr:to>
    <xdr:sp macro="" textlink="">
      <xdr:nvSpPr>
        <xdr:cNvPr id="5" name="Abgerundetes Rechteck 4">
          <a:hlinkClick xmlns:r="http://schemas.openxmlformats.org/officeDocument/2006/relationships" r:id="rId4" tooltip="Pestle - Technologisch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3743404" y="5467350"/>
          <a:ext cx="1296000" cy="396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300" b="0"/>
            <a:t>Technological</a:t>
          </a:r>
        </a:p>
      </xdr:txBody>
    </xdr:sp>
    <xdr:clientData/>
  </xdr:twoCellAnchor>
  <xdr:twoCellAnchor editAs="oneCell">
    <xdr:from>
      <xdr:col>2</xdr:col>
      <xdr:colOff>709470</xdr:colOff>
      <xdr:row>13</xdr:row>
      <xdr:rowOff>1647825</xdr:rowOff>
    </xdr:from>
    <xdr:to>
      <xdr:col>2</xdr:col>
      <xdr:colOff>2005470</xdr:colOff>
      <xdr:row>13</xdr:row>
      <xdr:rowOff>2043825</xdr:rowOff>
    </xdr:to>
    <xdr:sp macro="" textlink="">
      <xdr:nvSpPr>
        <xdr:cNvPr id="6" name="Abgerundetes Rechteck 5">
          <a:hlinkClick xmlns:r="http://schemas.openxmlformats.org/officeDocument/2006/relationships" r:id="rId5" tooltip="Pestle - Rechtlich"/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1433370" y="4276725"/>
          <a:ext cx="1296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400" b="0"/>
            <a:t>Environmental</a:t>
          </a:r>
        </a:p>
      </xdr:txBody>
    </xdr:sp>
    <xdr:clientData/>
  </xdr:twoCellAnchor>
  <xdr:twoCellAnchor editAs="oneCell">
    <xdr:from>
      <xdr:col>2</xdr:col>
      <xdr:colOff>699787</xdr:colOff>
      <xdr:row>10</xdr:row>
      <xdr:rowOff>171450</xdr:rowOff>
    </xdr:from>
    <xdr:to>
      <xdr:col>2</xdr:col>
      <xdr:colOff>1995787</xdr:colOff>
      <xdr:row>12</xdr:row>
      <xdr:rowOff>186450</xdr:rowOff>
    </xdr:to>
    <xdr:sp macro="" textlink="">
      <xdr:nvSpPr>
        <xdr:cNvPr id="7" name="Abgerundetes Rechteck 6">
          <a:hlinkClick xmlns:r="http://schemas.openxmlformats.org/officeDocument/2006/relationships" r:id="rId6" tooltip="Pestle - Ökologisch"/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1423687" y="2228850"/>
          <a:ext cx="1296000" cy="396000"/>
        </a:xfrm>
        <a:prstGeom prst="roundRect">
          <a:avLst/>
        </a:prstGeom>
        <a:gradFill flip="none" rotWithShape="1">
          <a:gsLst>
            <a:gs pos="0">
              <a:schemeClr val="bg2">
                <a:lumMod val="75000"/>
              </a:schemeClr>
            </a:gs>
            <a:gs pos="0">
              <a:schemeClr val="bg2">
                <a:lumMod val="75000"/>
              </a:schemeClr>
            </a:gs>
            <a:gs pos="100000">
              <a:schemeClr val="bg2">
                <a:lumMod val="75000"/>
                <a:tint val="44500"/>
                <a:satMod val="160000"/>
              </a:schemeClr>
            </a:gs>
          </a:gsLst>
          <a:lin ang="16200000" scaled="1"/>
          <a:tileRect/>
        </a:gradFill>
        <a:ln>
          <a:solidFill>
            <a:schemeClr val="bg2">
              <a:lumMod val="50000"/>
            </a:schemeClr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Legal</a:t>
          </a:r>
        </a:p>
      </xdr:txBody>
    </xdr:sp>
    <xdr:clientData/>
  </xdr:twoCellAnchor>
  <xdr:twoCellAnchor editAs="oneCell">
    <xdr:from>
      <xdr:col>3</xdr:col>
      <xdr:colOff>895904</xdr:colOff>
      <xdr:row>3</xdr:row>
      <xdr:rowOff>133350</xdr:rowOff>
    </xdr:from>
    <xdr:to>
      <xdr:col>3</xdr:col>
      <xdr:colOff>2191904</xdr:colOff>
      <xdr:row>5</xdr:row>
      <xdr:rowOff>148350</xdr:rowOff>
    </xdr:to>
    <xdr:sp macro="" textlink="">
      <xdr:nvSpPr>
        <xdr:cNvPr id="8" name="Abgerundetes Rechteck 7">
          <a:hlinkClick xmlns:r="http://schemas.openxmlformats.org/officeDocument/2006/relationships" r:id="rId7" tooltip="Pestle - Politisch"/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/>
      </xdr:nvSpPr>
      <xdr:spPr>
        <a:xfrm>
          <a:off x="3715304" y="857250"/>
          <a:ext cx="1296000" cy="396000"/>
        </a:xfrm>
        <a:prstGeom prst="roundRect">
          <a:avLst/>
        </a:prstGeom>
        <a:ln>
          <a:solidFill>
            <a:schemeClr val="accent2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Political</a:t>
          </a:r>
        </a:p>
      </xdr:txBody>
    </xdr:sp>
    <xdr:clientData/>
  </xdr:twoCellAnchor>
  <xdr:twoCellAnchor>
    <xdr:from>
      <xdr:col>3</xdr:col>
      <xdr:colOff>931904</xdr:colOff>
      <xdr:row>6</xdr:row>
      <xdr:rowOff>36740</xdr:rowOff>
    </xdr:from>
    <xdr:to>
      <xdr:col>3</xdr:col>
      <xdr:colOff>2155904</xdr:colOff>
      <xdr:row>6</xdr:row>
      <xdr:rowOff>180740</xdr:rowOff>
    </xdr:to>
    <xdr:grpSp>
      <xdr:nvGrpSpPr>
        <xdr:cNvPr id="9" name="Gruppieren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GrpSpPr/>
      </xdr:nvGrpSpPr>
      <xdr:grpSpPr>
        <a:xfrm>
          <a:off x="3835124" y="1339760"/>
          <a:ext cx="1224000" cy="144000"/>
          <a:chOff x="10779915" y="1913165"/>
          <a:chExt cx="1224000" cy="144000"/>
        </a:xfrm>
      </xdr:grpSpPr>
      <xdr:sp macro="" textlink="$I$16">
        <xdr:nvSpPr>
          <xdr:cNvPr id="10" name="Abgerundetes Rechteck 9">
            <a:extLst>
              <a:ext uri="{FF2B5EF4-FFF2-40B4-BE49-F238E27FC236}">
                <a16:creationId xmlns:a16="http://schemas.microsoft.com/office/drawing/2014/main" id="{00000000-0008-0000-0900-00000A000000}"/>
              </a:ext>
            </a:extLst>
          </xdr:cNvPr>
          <xdr:cNvSpPr/>
        </xdr:nvSpPr>
        <xdr:spPr>
          <a:xfrm>
            <a:off x="10779915" y="1914017"/>
            <a:ext cx="325047" cy="143148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88F29EF-9E60-4D4D-91DE-0097530F6B33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17">
        <xdr:nvSpPr>
          <xdr:cNvPr id="11" name="Abgerundetes Rechteck 10">
            <a:extLst>
              <a:ext uri="{FF2B5EF4-FFF2-40B4-BE49-F238E27FC236}">
                <a16:creationId xmlns:a16="http://schemas.microsoft.com/office/drawing/2014/main" id="{00000000-0008-0000-0900-00000B000000}"/>
              </a:ext>
            </a:extLst>
          </xdr:cNvPr>
          <xdr:cNvSpPr/>
        </xdr:nvSpPr>
        <xdr:spPr>
          <a:xfrm>
            <a:off x="11234591" y="1914017"/>
            <a:ext cx="325047" cy="143148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DF93A93C-C7C3-45A2-9555-81986BC03151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18">
        <xdr:nvSpPr>
          <xdr:cNvPr id="12" name="Abgerundetes Rechteck 11">
            <a:extLst>
              <a:ext uri="{FF2B5EF4-FFF2-40B4-BE49-F238E27FC236}">
                <a16:creationId xmlns:a16="http://schemas.microsoft.com/office/drawing/2014/main" id="{00000000-0008-0000-0900-00000C000000}"/>
              </a:ext>
            </a:extLst>
          </xdr:cNvPr>
          <xdr:cNvSpPr/>
        </xdr:nvSpPr>
        <xdr:spPr>
          <a:xfrm>
            <a:off x="11678868" y="1913165"/>
            <a:ext cx="325047" cy="143148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FBF65BD-38F7-46BA-8412-CD81F661A2BF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4</xdr:col>
      <xdr:colOff>650695</xdr:colOff>
      <xdr:row>13</xdr:row>
      <xdr:rowOff>65314</xdr:rowOff>
    </xdr:from>
    <xdr:to>
      <xdr:col>6</xdr:col>
      <xdr:colOff>550720</xdr:colOff>
      <xdr:row>13</xdr:row>
      <xdr:rowOff>209314</xdr:rowOff>
    </xdr:to>
    <xdr:grpSp>
      <xdr:nvGrpSpPr>
        <xdr:cNvPr id="13" name="Gruppieren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GrpSpPr/>
      </xdr:nvGrpSpPr>
      <xdr:grpSpPr>
        <a:xfrm>
          <a:off x="6251395" y="2648494"/>
          <a:ext cx="1264005" cy="144000"/>
          <a:chOff x="492917" y="1313089"/>
          <a:chExt cx="860818" cy="229961"/>
        </a:xfrm>
      </xdr:grpSpPr>
      <xdr:sp macro="" textlink="$I$30">
        <xdr:nvSpPr>
          <xdr:cNvPr id="14" name="Abgerundetes Rechteck 13">
            <a:extLst>
              <a:ext uri="{FF2B5EF4-FFF2-40B4-BE49-F238E27FC236}">
                <a16:creationId xmlns:a16="http://schemas.microsoft.com/office/drawing/2014/main" id="{00000000-0008-0000-0900-00000E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610C9D3-9A18-428F-A9E7-0C46188E9069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31">
        <xdr:nvSpPr>
          <xdr:cNvPr id="15" name="Abgerundetes Rechteck 14">
            <a:extLst>
              <a:ext uri="{FF2B5EF4-FFF2-40B4-BE49-F238E27FC236}">
                <a16:creationId xmlns:a16="http://schemas.microsoft.com/office/drawing/2014/main" id="{00000000-0008-0000-0900-00000F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EEA97A55-8E00-4DAB-8C41-1ED2B78FE1D7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32">
        <xdr:nvSpPr>
          <xdr:cNvPr id="16" name="Abgerundetes Rechteck 15">
            <a:extLst>
              <a:ext uri="{FF2B5EF4-FFF2-40B4-BE49-F238E27FC236}">
                <a16:creationId xmlns:a16="http://schemas.microsoft.com/office/drawing/2014/main" id="{00000000-0008-0000-0900-000010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13869140-84FF-4691-AA10-52986F5ABE9F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</xdr:grpSp>
    <xdr:clientData/>
  </xdr:twoCellAnchor>
  <xdr:twoCellAnchor editAs="oneCell">
    <xdr:from>
      <xdr:col>4</xdr:col>
      <xdr:colOff>655300</xdr:colOff>
      <xdr:row>13</xdr:row>
      <xdr:rowOff>2113189</xdr:rowOff>
    </xdr:from>
    <xdr:to>
      <xdr:col>6</xdr:col>
      <xdr:colOff>555325</xdr:colOff>
      <xdr:row>13</xdr:row>
      <xdr:rowOff>2257189</xdr:rowOff>
    </xdr:to>
    <xdr:grpSp>
      <xdr:nvGrpSpPr>
        <xdr:cNvPr id="17" name="Gruppieren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GrpSpPr/>
      </xdr:nvGrpSpPr>
      <xdr:grpSpPr>
        <a:xfrm>
          <a:off x="6256000" y="4696369"/>
          <a:ext cx="1264005" cy="144000"/>
          <a:chOff x="492917" y="1313089"/>
          <a:chExt cx="860818" cy="229961"/>
        </a:xfrm>
      </xdr:grpSpPr>
      <xdr:sp macro="" textlink="$I$44">
        <xdr:nvSpPr>
          <xdr:cNvPr id="18" name="Abgerundetes Rechteck 17">
            <a:extLst>
              <a:ext uri="{FF2B5EF4-FFF2-40B4-BE49-F238E27FC236}">
                <a16:creationId xmlns:a16="http://schemas.microsoft.com/office/drawing/2014/main" id="{00000000-0008-0000-0900-000012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6C544E59-7E92-40F3-8CED-83B3D2A235E0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45">
        <xdr:nvSpPr>
          <xdr:cNvPr id="19" name="Abgerundetes Rechteck 18">
            <a:extLst>
              <a:ext uri="{FF2B5EF4-FFF2-40B4-BE49-F238E27FC236}">
                <a16:creationId xmlns:a16="http://schemas.microsoft.com/office/drawing/2014/main" id="{00000000-0008-0000-0900-000013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CC4D263-956E-4C0A-9D77-08DA53E74FCE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46">
        <xdr:nvSpPr>
          <xdr:cNvPr id="20" name="Abgerundetes Rechteck 19">
            <a:extLst>
              <a:ext uri="{FF2B5EF4-FFF2-40B4-BE49-F238E27FC236}">
                <a16:creationId xmlns:a16="http://schemas.microsoft.com/office/drawing/2014/main" id="{00000000-0008-0000-0900-000014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6EB6DFE-31B6-463C-A26D-810E7C88169E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3</xdr:col>
      <xdr:colOff>960004</xdr:colOff>
      <xdr:row>13</xdr:row>
      <xdr:rowOff>3303814</xdr:rowOff>
    </xdr:from>
    <xdr:to>
      <xdr:col>3</xdr:col>
      <xdr:colOff>2184004</xdr:colOff>
      <xdr:row>13</xdr:row>
      <xdr:rowOff>3447814</xdr:rowOff>
    </xdr:to>
    <xdr:grpSp>
      <xdr:nvGrpSpPr>
        <xdr:cNvPr id="21" name="Gruppieren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GrpSpPr/>
      </xdr:nvGrpSpPr>
      <xdr:grpSpPr>
        <a:xfrm>
          <a:off x="3863224" y="5886994"/>
          <a:ext cx="1224000" cy="144000"/>
          <a:chOff x="492917" y="1313089"/>
          <a:chExt cx="860818" cy="229961"/>
        </a:xfrm>
      </xdr:grpSpPr>
      <xdr:sp macro="" textlink="$I$58">
        <xdr:nvSpPr>
          <xdr:cNvPr id="22" name="Abgerundetes Rechteck 21">
            <a:extLst>
              <a:ext uri="{FF2B5EF4-FFF2-40B4-BE49-F238E27FC236}">
                <a16:creationId xmlns:a16="http://schemas.microsoft.com/office/drawing/2014/main" id="{00000000-0008-0000-0900-000016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ED7C980-14DB-4B90-AC8E-FF17E8E79CEA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59">
        <xdr:nvSpPr>
          <xdr:cNvPr id="23" name="Abgerundetes Rechteck 22">
            <a:extLst>
              <a:ext uri="{FF2B5EF4-FFF2-40B4-BE49-F238E27FC236}">
                <a16:creationId xmlns:a16="http://schemas.microsoft.com/office/drawing/2014/main" id="{00000000-0008-0000-0900-000017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CD38212-3649-4BFD-9ACA-EC55D8EFD12B}" type="TxLink">
              <a:rPr lang="de-CH" sz="800"/>
              <a:pPr algn="ctr"/>
              <a:t>0</a:t>
            </a:fld>
            <a:endParaRPr lang="de-CH" sz="800"/>
          </a:p>
        </xdr:txBody>
      </xdr:sp>
      <xdr:sp macro="" textlink="$I$60">
        <xdr:nvSpPr>
          <xdr:cNvPr id="24" name="Abgerundetes Rechteck 23">
            <a:extLst>
              <a:ext uri="{FF2B5EF4-FFF2-40B4-BE49-F238E27FC236}">
                <a16:creationId xmlns:a16="http://schemas.microsoft.com/office/drawing/2014/main" id="{00000000-0008-0000-0900-000018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9ACE488-2BE1-4F10-AA51-D3C55ED71A24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2</xdr:col>
      <xdr:colOff>745470</xdr:colOff>
      <xdr:row>13</xdr:row>
      <xdr:rowOff>2113189</xdr:rowOff>
    </xdr:from>
    <xdr:to>
      <xdr:col>2</xdr:col>
      <xdr:colOff>1969470</xdr:colOff>
      <xdr:row>13</xdr:row>
      <xdr:rowOff>2257189</xdr:rowOff>
    </xdr:to>
    <xdr:grpSp>
      <xdr:nvGrpSpPr>
        <xdr:cNvPr id="25" name="Gruppieren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GrpSpPr/>
      </xdr:nvGrpSpPr>
      <xdr:grpSpPr>
        <a:xfrm>
          <a:off x="1492230" y="4696369"/>
          <a:ext cx="1224000" cy="144000"/>
          <a:chOff x="492917" y="1313089"/>
          <a:chExt cx="860818" cy="229961"/>
        </a:xfrm>
      </xdr:grpSpPr>
      <xdr:sp macro="" textlink="$I$72">
        <xdr:nvSpPr>
          <xdr:cNvPr id="26" name="Abgerundetes Rechteck 25">
            <a:extLst>
              <a:ext uri="{FF2B5EF4-FFF2-40B4-BE49-F238E27FC236}">
                <a16:creationId xmlns:a16="http://schemas.microsoft.com/office/drawing/2014/main" id="{00000000-0008-0000-0900-00001A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530C97E4-F747-43AA-8F93-442151DD7576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2</a:t>
            </a:fld>
            <a:endParaRPr lang="de-CH" sz="800"/>
          </a:p>
        </xdr:txBody>
      </xdr:sp>
      <xdr:sp macro="" textlink="$I$73">
        <xdr:nvSpPr>
          <xdr:cNvPr id="27" name="Abgerundetes Rechteck 26">
            <a:extLst>
              <a:ext uri="{FF2B5EF4-FFF2-40B4-BE49-F238E27FC236}">
                <a16:creationId xmlns:a16="http://schemas.microsoft.com/office/drawing/2014/main" id="{00000000-0008-0000-0900-00001B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86224A5-B5DC-4A33-B1F5-4103F5C1F590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74">
        <xdr:nvSpPr>
          <xdr:cNvPr id="28" name="Abgerundetes Rechteck 27">
            <a:extLst>
              <a:ext uri="{FF2B5EF4-FFF2-40B4-BE49-F238E27FC236}">
                <a16:creationId xmlns:a16="http://schemas.microsoft.com/office/drawing/2014/main" id="{00000000-0008-0000-0900-00001C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CFBB495-BC5F-4A2A-A21C-0537562CDE51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2</xdr:col>
      <xdr:colOff>735787</xdr:colOff>
      <xdr:row>13</xdr:row>
      <xdr:rowOff>65314</xdr:rowOff>
    </xdr:from>
    <xdr:to>
      <xdr:col>2</xdr:col>
      <xdr:colOff>1959787</xdr:colOff>
      <xdr:row>13</xdr:row>
      <xdr:rowOff>209314</xdr:rowOff>
    </xdr:to>
    <xdr:grpSp>
      <xdr:nvGrpSpPr>
        <xdr:cNvPr id="29" name="Gruppieren 28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GrpSpPr/>
      </xdr:nvGrpSpPr>
      <xdr:grpSpPr>
        <a:xfrm>
          <a:off x="1482547" y="2648494"/>
          <a:ext cx="1224000" cy="144000"/>
          <a:chOff x="492917" y="1313089"/>
          <a:chExt cx="860818" cy="229961"/>
        </a:xfrm>
      </xdr:grpSpPr>
      <xdr:sp macro="" textlink="$I$86">
        <xdr:nvSpPr>
          <xdr:cNvPr id="30" name="Abgerundetes Rechteck 29">
            <a:extLst>
              <a:ext uri="{FF2B5EF4-FFF2-40B4-BE49-F238E27FC236}">
                <a16:creationId xmlns:a16="http://schemas.microsoft.com/office/drawing/2014/main" id="{00000000-0008-0000-0900-00001E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CE79A6A-F34D-46C0-929D-E64521BCEFF4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87">
        <xdr:nvSpPr>
          <xdr:cNvPr id="31" name="Abgerundetes Rechteck 30">
            <a:extLst>
              <a:ext uri="{FF2B5EF4-FFF2-40B4-BE49-F238E27FC236}">
                <a16:creationId xmlns:a16="http://schemas.microsoft.com/office/drawing/2014/main" id="{00000000-0008-0000-0900-00001F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EDED8762-6206-4124-AB7A-FC1D99EE7E1A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88">
        <xdr:nvSpPr>
          <xdr:cNvPr id="32" name="Abgerundetes Rechteck 31">
            <a:extLst>
              <a:ext uri="{FF2B5EF4-FFF2-40B4-BE49-F238E27FC236}">
                <a16:creationId xmlns:a16="http://schemas.microsoft.com/office/drawing/2014/main" id="{00000000-0008-0000-0900-000020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A1757B14-B799-463A-BC8C-6C756A235999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0</xdr:col>
      <xdr:colOff>66675</xdr:colOff>
      <xdr:row>28</xdr:row>
      <xdr:rowOff>0</xdr:rowOff>
    </xdr:from>
    <xdr:to>
      <xdr:col>0</xdr:col>
      <xdr:colOff>390675</xdr:colOff>
      <xdr:row>29</xdr:row>
      <xdr:rowOff>58765</xdr:rowOff>
    </xdr:to>
    <xdr:grpSp>
      <xdr:nvGrpSpPr>
        <xdr:cNvPr id="39" name="Gruppieren 3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GrpSpPr/>
      </xdr:nvGrpSpPr>
      <xdr:grpSpPr>
        <a:xfrm>
          <a:off x="66675" y="10233660"/>
          <a:ext cx="324000" cy="325465"/>
          <a:chOff x="66675" y="4972050"/>
          <a:chExt cx="324000" cy="325465"/>
        </a:xfrm>
      </xdr:grpSpPr>
      <xdr:sp macro="" textlink="">
        <xdr:nvSpPr>
          <xdr:cNvPr id="40" name="Rechteck 39">
            <a:extLst>
              <a:ext uri="{FF2B5EF4-FFF2-40B4-BE49-F238E27FC236}">
                <a16:creationId xmlns:a16="http://schemas.microsoft.com/office/drawing/2014/main" id="{00000000-0008-0000-0900-000028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1" name="Pfeil nach oben 40">
            <a:extLst>
              <a:ext uri="{FF2B5EF4-FFF2-40B4-BE49-F238E27FC236}">
                <a16:creationId xmlns:a16="http://schemas.microsoft.com/office/drawing/2014/main" id="{00000000-0008-0000-0900-000029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7</xdr:col>
      <xdr:colOff>200025</xdr:colOff>
      <xdr:row>2</xdr:row>
      <xdr:rowOff>47625</xdr:rowOff>
    </xdr:from>
    <xdr:to>
      <xdr:col>7</xdr:col>
      <xdr:colOff>372825</xdr:colOff>
      <xdr:row>3</xdr:row>
      <xdr:rowOff>39450</xdr:rowOff>
    </xdr:to>
    <xdr:grpSp>
      <xdr:nvGrpSpPr>
        <xdr:cNvPr id="45" name="Gruppieren 44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GrpSpPr/>
      </xdr:nvGrpSpPr>
      <xdr:grpSpPr>
        <a:xfrm>
          <a:off x="9953625" y="626745"/>
          <a:ext cx="172800" cy="167085"/>
          <a:chOff x="8105775" y="571500"/>
          <a:chExt cx="172800" cy="172800"/>
        </a:xfrm>
      </xdr:grpSpPr>
      <xdr:sp macro="" textlink="">
        <xdr:nvSpPr>
          <xdr:cNvPr id="46" name="Rechteck 45">
            <a:extLst>
              <a:ext uri="{FF2B5EF4-FFF2-40B4-BE49-F238E27FC236}">
                <a16:creationId xmlns:a16="http://schemas.microsoft.com/office/drawing/2014/main" id="{00000000-0008-0000-0900-00002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7" name="Textfeld 46">
            <a:extLst>
              <a:ext uri="{FF2B5EF4-FFF2-40B4-BE49-F238E27FC236}">
                <a16:creationId xmlns:a16="http://schemas.microsoft.com/office/drawing/2014/main" id="{00000000-0008-0000-0900-00002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66675</xdr:colOff>
      <xdr:row>42</xdr:row>
      <xdr:rowOff>0</xdr:rowOff>
    </xdr:from>
    <xdr:to>
      <xdr:col>0</xdr:col>
      <xdr:colOff>390675</xdr:colOff>
      <xdr:row>43</xdr:row>
      <xdr:rowOff>58765</xdr:rowOff>
    </xdr:to>
    <xdr:grpSp>
      <xdr:nvGrpSpPr>
        <xdr:cNvPr id="48" name="Gruppieren 4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GrpSpPr/>
      </xdr:nvGrpSpPr>
      <xdr:grpSpPr>
        <a:xfrm>
          <a:off x="66675" y="14363700"/>
          <a:ext cx="324000" cy="325465"/>
          <a:chOff x="66675" y="4972050"/>
          <a:chExt cx="324000" cy="325465"/>
        </a:xfrm>
      </xdr:grpSpPr>
      <xdr:sp macro="" textlink="">
        <xdr:nvSpPr>
          <xdr:cNvPr id="49" name="Rechteck 48">
            <a:extLst>
              <a:ext uri="{FF2B5EF4-FFF2-40B4-BE49-F238E27FC236}">
                <a16:creationId xmlns:a16="http://schemas.microsoft.com/office/drawing/2014/main" id="{00000000-0008-0000-0900-000031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0" name="Pfeil nach oben 49">
            <a:extLst>
              <a:ext uri="{FF2B5EF4-FFF2-40B4-BE49-F238E27FC236}">
                <a16:creationId xmlns:a16="http://schemas.microsoft.com/office/drawing/2014/main" id="{00000000-0008-0000-0900-000032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56</xdr:row>
      <xdr:rowOff>0</xdr:rowOff>
    </xdr:from>
    <xdr:to>
      <xdr:col>0</xdr:col>
      <xdr:colOff>390675</xdr:colOff>
      <xdr:row>57</xdr:row>
      <xdr:rowOff>58765</xdr:rowOff>
    </xdr:to>
    <xdr:grpSp>
      <xdr:nvGrpSpPr>
        <xdr:cNvPr id="51" name="Gruppieren 5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GrpSpPr/>
      </xdr:nvGrpSpPr>
      <xdr:grpSpPr>
        <a:xfrm>
          <a:off x="66675" y="18493740"/>
          <a:ext cx="324000" cy="325465"/>
          <a:chOff x="66675" y="4972050"/>
          <a:chExt cx="324000" cy="325465"/>
        </a:xfrm>
      </xdr:grpSpPr>
      <xdr:sp macro="" textlink="">
        <xdr:nvSpPr>
          <xdr:cNvPr id="52" name="Rechteck 51">
            <a:extLst>
              <a:ext uri="{FF2B5EF4-FFF2-40B4-BE49-F238E27FC236}">
                <a16:creationId xmlns:a16="http://schemas.microsoft.com/office/drawing/2014/main" id="{00000000-0008-0000-0900-000034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3" name="Pfeil nach oben 52">
            <a:extLst>
              <a:ext uri="{FF2B5EF4-FFF2-40B4-BE49-F238E27FC236}">
                <a16:creationId xmlns:a16="http://schemas.microsoft.com/office/drawing/2014/main" id="{00000000-0008-0000-0900-000035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70</xdr:row>
      <xdr:rowOff>0</xdr:rowOff>
    </xdr:from>
    <xdr:to>
      <xdr:col>0</xdr:col>
      <xdr:colOff>390675</xdr:colOff>
      <xdr:row>71</xdr:row>
      <xdr:rowOff>58765</xdr:rowOff>
    </xdr:to>
    <xdr:grpSp>
      <xdr:nvGrpSpPr>
        <xdr:cNvPr id="54" name="Gruppieren 5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GrpSpPr/>
      </xdr:nvGrpSpPr>
      <xdr:grpSpPr>
        <a:xfrm>
          <a:off x="66675" y="22623780"/>
          <a:ext cx="324000" cy="325465"/>
          <a:chOff x="66675" y="4972050"/>
          <a:chExt cx="324000" cy="325465"/>
        </a:xfrm>
      </xdr:grpSpPr>
      <xdr:sp macro="" textlink="">
        <xdr:nvSpPr>
          <xdr:cNvPr id="55" name="Rechteck 54">
            <a:extLst>
              <a:ext uri="{FF2B5EF4-FFF2-40B4-BE49-F238E27FC236}">
                <a16:creationId xmlns:a16="http://schemas.microsoft.com/office/drawing/2014/main" id="{00000000-0008-0000-0900-000037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6" name="Pfeil nach oben 55">
            <a:extLst>
              <a:ext uri="{FF2B5EF4-FFF2-40B4-BE49-F238E27FC236}">
                <a16:creationId xmlns:a16="http://schemas.microsoft.com/office/drawing/2014/main" id="{00000000-0008-0000-0900-000038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84</xdr:row>
      <xdr:rowOff>0</xdr:rowOff>
    </xdr:from>
    <xdr:to>
      <xdr:col>0</xdr:col>
      <xdr:colOff>390675</xdr:colOff>
      <xdr:row>85</xdr:row>
      <xdr:rowOff>58765</xdr:rowOff>
    </xdr:to>
    <xdr:grpSp>
      <xdr:nvGrpSpPr>
        <xdr:cNvPr id="57" name="Gruppieren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GrpSpPr/>
      </xdr:nvGrpSpPr>
      <xdr:grpSpPr>
        <a:xfrm>
          <a:off x="66675" y="26753820"/>
          <a:ext cx="324000" cy="325465"/>
          <a:chOff x="66675" y="4972050"/>
          <a:chExt cx="324000" cy="325465"/>
        </a:xfrm>
      </xdr:grpSpPr>
      <xdr:sp macro="" textlink="">
        <xdr:nvSpPr>
          <xdr:cNvPr id="58" name="Rechteck 57">
            <a:extLst>
              <a:ext uri="{FF2B5EF4-FFF2-40B4-BE49-F238E27FC236}">
                <a16:creationId xmlns:a16="http://schemas.microsoft.com/office/drawing/2014/main" id="{00000000-0008-0000-0900-00003A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9" name="Pfeil nach oben 58">
            <a:extLst>
              <a:ext uri="{FF2B5EF4-FFF2-40B4-BE49-F238E27FC236}">
                <a16:creationId xmlns:a16="http://schemas.microsoft.com/office/drawing/2014/main" id="{00000000-0008-0000-0900-00003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0</xdr:colOff>
      <xdr:row>95</xdr:row>
      <xdr:rowOff>0</xdr:rowOff>
    </xdr:from>
    <xdr:to>
      <xdr:col>0</xdr:col>
      <xdr:colOff>324000</xdr:colOff>
      <xdr:row>96</xdr:row>
      <xdr:rowOff>30190</xdr:rowOff>
    </xdr:to>
    <xdr:grpSp>
      <xdr:nvGrpSpPr>
        <xdr:cNvPr id="60" name="Gruppieren 5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GrpSpPr/>
      </xdr:nvGrpSpPr>
      <xdr:grpSpPr>
        <a:xfrm>
          <a:off x="0" y="30220920"/>
          <a:ext cx="324000" cy="327370"/>
          <a:chOff x="66675" y="4972050"/>
          <a:chExt cx="324000" cy="325465"/>
        </a:xfrm>
      </xdr:grpSpPr>
      <xdr:sp macro="" textlink="">
        <xdr:nvSpPr>
          <xdr:cNvPr id="61" name="Rechteck 60">
            <a:extLst>
              <a:ext uri="{FF2B5EF4-FFF2-40B4-BE49-F238E27FC236}">
                <a16:creationId xmlns:a16="http://schemas.microsoft.com/office/drawing/2014/main" id="{00000000-0008-0000-0900-00003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2" name="Pfeil nach oben 61">
            <a:extLst>
              <a:ext uri="{FF2B5EF4-FFF2-40B4-BE49-F238E27FC236}">
                <a16:creationId xmlns:a16="http://schemas.microsoft.com/office/drawing/2014/main" id="{00000000-0008-0000-0900-00003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85725</xdr:colOff>
      <xdr:row>0</xdr:row>
      <xdr:rowOff>104775</xdr:rowOff>
    </xdr:from>
    <xdr:to>
      <xdr:col>0</xdr:col>
      <xdr:colOff>409725</xdr:colOff>
      <xdr:row>0</xdr:row>
      <xdr:rowOff>430240</xdr:rowOff>
    </xdr:to>
    <xdr:grpSp>
      <xdr:nvGrpSpPr>
        <xdr:cNvPr id="63" name="Gruppieren 6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GrpSpPr/>
      </xdr:nvGrpSpPr>
      <xdr:grpSpPr>
        <a:xfrm>
          <a:off x="85725" y="104775"/>
          <a:ext cx="324000" cy="325465"/>
          <a:chOff x="9191625" y="3009900"/>
          <a:chExt cx="324000" cy="325465"/>
        </a:xfrm>
      </xdr:grpSpPr>
      <xdr:sp macro="" textlink="">
        <xdr:nvSpPr>
          <xdr:cNvPr id="64" name="Rechteck 63">
            <a:extLst>
              <a:ext uri="{FF2B5EF4-FFF2-40B4-BE49-F238E27FC236}">
                <a16:creationId xmlns:a16="http://schemas.microsoft.com/office/drawing/2014/main" id="{00000000-0008-0000-0900-00004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5" name="Pfeil nach links 64">
            <a:extLst>
              <a:ext uri="{FF2B5EF4-FFF2-40B4-BE49-F238E27FC236}">
                <a16:creationId xmlns:a16="http://schemas.microsoft.com/office/drawing/2014/main" id="{00000000-0008-0000-0900-00004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85725</xdr:colOff>
      <xdr:row>2</xdr:row>
      <xdr:rowOff>114300</xdr:rowOff>
    </xdr:from>
    <xdr:to>
      <xdr:col>0</xdr:col>
      <xdr:colOff>409725</xdr:colOff>
      <xdr:row>4</xdr:row>
      <xdr:rowOff>68290</xdr:rowOff>
    </xdr:to>
    <xdr:grpSp>
      <xdr:nvGrpSpPr>
        <xdr:cNvPr id="66" name="Gruppieren 6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GrpSpPr/>
      </xdr:nvGrpSpPr>
      <xdr:grpSpPr>
        <a:xfrm>
          <a:off x="85725" y="693420"/>
          <a:ext cx="324000" cy="312130"/>
          <a:chOff x="12020550" y="2171700"/>
          <a:chExt cx="324000" cy="325465"/>
        </a:xfrm>
      </xdr:grpSpPr>
      <xdr:sp macro="" textlink="">
        <xdr:nvSpPr>
          <xdr:cNvPr id="67" name="Rechteck 66">
            <a:extLst>
              <a:ext uri="{FF2B5EF4-FFF2-40B4-BE49-F238E27FC236}">
                <a16:creationId xmlns:a16="http://schemas.microsoft.com/office/drawing/2014/main" id="{00000000-0008-0000-0900-000043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8" name="Pfeil nach rechts 67">
            <a:extLst>
              <a:ext uri="{FF2B5EF4-FFF2-40B4-BE49-F238E27FC236}">
                <a16:creationId xmlns:a16="http://schemas.microsoft.com/office/drawing/2014/main" id="{00000000-0008-0000-0900-000044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85725</xdr:colOff>
      <xdr:row>4</xdr:row>
      <xdr:rowOff>76200</xdr:rowOff>
    </xdr:from>
    <xdr:ext cx="419100" cy="140872"/>
    <xdr:sp macro="" textlink="' '!A90">
      <xdr:nvSpPr>
        <xdr:cNvPr id="69" name="Textfeld 68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 txBox="1"/>
      </xdr:nvSpPr>
      <xdr:spPr>
        <a:xfrm>
          <a:off x="85725" y="990600"/>
          <a:ext cx="419100" cy="1408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l"/>
          <a:fld id="{83638DE6-3E4E-43D0-B4A9-D91B85122327}" type="TxLink">
            <a:rPr lang="en-US" sz="900" b="0" i="0" u="none" strike="noStrike">
              <a:solidFill>
                <a:srgbClr val="000000"/>
              </a:solidFill>
              <a:latin typeface="Calibri"/>
            </a:rPr>
            <a:pPr algn="l"/>
            <a:t>Kunde</a:t>
          </a:fld>
          <a:endParaRPr lang="de-CH" sz="900" b="0">
            <a:solidFill>
              <a:schemeClr val="tx1"/>
            </a:solidFill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904875</xdr:colOff>
          <xdr:row>0</xdr:row>
          <xdr:rowOff>19050</xdr:rowOff>
        </xdr:from>
        <xdr:to>
          <xdr:col>7</xdr:col>
          <xdr:colOff>398145</xdr:colOff>
          <xdr:row>0</xdr:row>
          <xdr:rowOff>552450</xdr:rowOff>
        </xdr:to>
        <xdr:pic>
          <xdr:nvPicPr>
            <xdr:cNvPr id="70" name="Grafik 59">
              <a:extLst>
                <a:ext uri="{FF2B5EF4-FFF2-40B4-BE49-F238E27FC236}">
                  <a16:creationId xmlns:a16="http://schemas.microsoft.com/office/drawing/2014/main" id="{00000000-0008-0000-0900-00004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3339"/>
                </a:ext>
              </a:extLst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766762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2133601</xdr:colOff>
      <xdr:row>38</xdr:row>
      <xdr:rowOff>180975</xdr:rowOff>
    </xdr:from>
    <xdr:to>
      <xdr:col>5</xdr:col>
      <xdr:colOff>152400</xdr:colOff>
      <xdr:row>40</xdr:row>
      <xdr:rowOff>10225</xdr:rowOff>
    </xdr:to>
    <xdr:sp macro="" textlink="">
      <xdr:nvSpPr>
        <xdr:cNvPr id="11" name="ZoneText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/>
      </xdr:nvSpPr>
      <xdr:spPr>
        <a:xfrm>
          <a:off x="10953751" y="7820025"/>
          <a:ext cx="1724024" cy="21025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l"/>
          <a:r>
            <a:rPr lang="fr-CH" sz="800" b="0" u="sng">
              <a:solidFill>
                <a:schemeClr val="bg1">
                  <a:lumMod val="50000"/>
                </a:schemeClr>
              </a:solidFill>
            </a:rPr>
            <a:t>Source: www.trendwatching.com</a:t>
          </a:r>
        </a:p>
      </xdr:txBody>
    </xdr:sp>
    <xdr:clientData/>
  </xdr:twoCellAnchor>
  <xdr:oneCellAnchor>
    <xdr:from>
      <xdr:col>1</xdr:col>
      <xdr:colOff>76200</xdr:colOff>
      <xdr:row>6</xdr:row>
      <xdr:rowOff>85725</xdr:rowOff>
    </xdr:from>
    <xdr:ext cx="1428749" cy="504360"/>
    <xdr:sp macro="" textlink="' '!A430">
      <xdr:nvSpPr>
        <xdr:cNvPr id="15" name="Gefaltete Ecke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/>
      </xdr:nvSpPr>
      <xdr:spPr>
        <a:xfrm>
          <a:off x="742950" y="1562100"/>
          <a:ext cx="142874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F386E33F-09AB-4B0B-A414-F68435154486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What deep consumer needs &amp; desires does this trend address?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104776</xdr:colOff>
      <xdr:row>6</xdr:row>
      <xdr:rowOff>76200</xdr:rowOff>
    </xdr:from>
    <xdr:ext cx="1381124" cy="336240"/>
    <xdr:sp macro="" textlink="' '!A431">
      <xdr:nvSpPr>
        <xdr:cNvPr id="17" name="Gefaltete Ecke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/>
      </xdr:nvSpPr>
      <xdr:spPr>
        <a:xfrm>
          <a:off x="4162426" y="1552575"/>
          <a:ext cx="1381124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F6066291-E2A2-4E8E-A882-A8A290955F62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Why is this trend emerging now? What’s changing?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142876</xdr:colOff>
      <xdr:row>23</xdr:row>
      <xdr:rowOff>85725</xdr:rowOff>
    </xdr:from>
    <xdr:ext cx="1209674" cy="504360"/>
    <xdr:sp macro="" textlink="' '!A435">
      <xdr:nvSpPr>
        <xdr:cNvPr id="24" name="Gefaltete Eck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/>
      </xdr:nvSpPr>
      <xdr:spPr>
        <a:xfrm>
          <a:off x="4200526" y="4876800"/>
          <a:ext cx="1209674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CC10E9C7-F533-4956-8BCF-6973F5E407A9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How are other businesses applying this trend?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4</xdr:col>
      <xdr:colOff>142875</xdr:colOff>
      <xdr:row>23</xdr:row>
      <xdr:rowOff>104774</xdr:rowOff>
    </xdr:from>
    <xdr:ext cx="1400175" cy="672479"/>
    <xdr:sp macro="" textlink="' '!A437">
      <xdr:nvSpPr>
        <xdr:cNvPr id="28" name="Gefaltete Eck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/>
      </xdr:nvSpPr>
      <xdr:spPr>
        <a:xfrm>
          <a:off x="8963025" y="4895849"/>
          <a:ext cx="1400175" cy="67247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CE11CFC0-1879-40DA-900D-2C4119EA666B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Which (new) customer groups could you apply this trend to? What would you have to change?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4</xdr:col>
      <xdr:colOff>152401</xdr:colOff>
      <xdr:row>6</xdr:row>
      <xdr:rowOff>85724</xdr:rowOff>
    </xdr:from>
    <xdr:ext cx="1200149" cy="504360"/>
    <xdr:sp macro="" textlink="' '!A436">
      <xdr:nvSpPr>
        <xdr:cNvPr id="30" name="Gefaltete Eck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/>
      </xdr:nvSpPr>
      <xdr:spPr>
        <a:xfrm>
          <a:off x="8972551" y="1562099"/>
          <a:ext cx="120014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BE1FA7D6-B4DE-45E5-91C5-93F681D07FA0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How and where could you apply this trend to your business?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twoCellAnchor editAs="oneCell">
    <xdr:from>
      <xdr:col>4</xdr:col>
      <xdr:colOff>3617595</xdr:colOff>
      <xdr:row>2</xdr:row>
      <xdr:rowOff>9525</xdr:rowOff>
    </xdr:from>
    <xdr:to>
      <xdr:col>4</xdr:col>
      <xdr:colOff>3704670</xdr:colOff>
      <xdr:row>2</xdr:row>
      <xdr:rowOff>182325</xdr:rowOff>
    </xdr:to>
    <xdr:grpSp>
      <xdr:nvGrpSpPr>
        <xdr:cNvPr id="34" name="Gruppieren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GrpSpPr/>
      </xdr:nvGrpSpPr>
      <xdr:grpSpPr>
        <a:xfrm>
          <a:off x="12693015" y="672465"/>
          <a:ext cx="87075" cy="172800"/>
          <a:chOff x="8105775" y="571500"/>
          <a:chExt cx="172800" cy="172800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0A00-00002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6" name="Textfeld 35">
            <a:extLst>
              <a:ext uri="{FF2B5EF4-FFF2-40B4-BE49-F238E27FC236}">
                <a16:creationId xmlns:a16="http://schemas.microsoft.com/office/drawing/2014/main" id="{00000000-0008-0000-0A00-00002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130" name="Gruppieren 12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GrpSpPr/>
      </xdr:nvGrpSpPr>
      <xdr:grpSpPr>
        <a:xfrm>
          <a:off x="76200" y="114300"/>
          <a:ext cx="324000" cy="325465"/>
          <a:chOff x="9191625" y="3009900"/>
          <a:chExt cx="324000" cy="325465"/>
        </a:xfrm>
      </xdr:grpSpPr>
      <xdr:sp macro="" textlink="">
        <xdr:nvSpPr>
          <xdr:cNvPr id="131" name="Rechteck 130">
            <a:extLst>
              <a:ext uri="{FF2B5EF4-FFF2-40B4-BE49-F238E27FC236}">
                <a16:creationId xmlns:a16="http://schemas.microsoft.com/office/drawing/2014/main" id="{00000000-0008-0000-0A00-00008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2" name="Pfeil nach links 131">
            <a:extLst>
              <a:ext uri="{FF2B5EF4-FFF2-40B4-BE49-F238E27FC236}">
                <a16:creationId xmlns:a16="http://schemas.microsoft.com/office/drawing/2014/main" id="{00000000-0008-0000-0A00-00008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2</xdr:col>
      <xdr:colOff>2305050</xdr:colOff>
      <xdr:row>7</xdr:row>
      <xdr:rowOff>114300</xdr:rowOff>
    </xdr:from>
    <xdr:to>
      <xdr:col>2</xdr:col>
      <xdr:colOff>2305050</xdr:colOff>
      <xdr:row>21</xdr:row>
      <xdr:rowOff>171450</xdr:rowOff>
    </xdr:to>
    <xdr:cxnSp macro="">
      <xdr:nvCxnSpPr>
        <xdr:cNvPr id="134" name="Gerader Verbinder 133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CxnSpPr/>
      </xdr:nvCxnSpPr>
      <xdr:spPr>
        <a:xfrm>
          <a:off x="6362700" y="1781175"/>
          <a:ext cx="0" cy="2724150"/>
        </a:xfrm>
        <a:prstGeom prst="line">
          <a:avLst/>
        </a:prstGeom>
        <a:ln>
          <a:solidFill>
            <a:schemeClr val="accent2">
              <a:lumMod val="75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219075</xdr:colOff>
      <xdr:row>10</xdr:row>
      <xdr:rowOff>9523</xdr:rowOff>
    </xdr:from>
    <xdr:ext cx="936000" cy="576000"/>
    <xdr:sp macro="" textlink="" fLocksText="0">
      <xdr:nvSpPr>
        <xdr:cNvPr id="135" name="Gefaltete Ecke 134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/>
      </xdr:nvSpPr>
      <xdr:spPr>
        <a:xfrm>
          <a:off x="885825" y="22478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1905000</xdr:colOff>
      <xdr:row>6</xdr:row>
      <xdr:rowOff>190498</xdr:rowOff>
    </xdr:from>
    <xdr:ext cx="936000" cy="576000"/>
    <xdr:sp macro="" textlink="" fLocksText="0">
      <xdr:nvSpPr>
        <xdr:cNvPr id="136" name="Gefaltete Ecke 135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/>
      </xdr:nvSpPr>
      <xdr:spPr>
        <a:xfrm>
          <a:off x="2571750" y="16668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1381125</xdr:colOff>
      <xdr:row>10</xdr:row>
      <xdr:rowOff>95248</xdr:rowOff>
    </xdr:from>
    <xdr:ext cx="936000" cy="576000"/>
    <xdr:sp macro="" textlink="" fLocksText="0">
      <xdr:nvSpPr>
        <xdr:cNvPr id="137" name="Gefaltete Ecke 136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/>
      </xdr:nvSpPr>
      <xdr:spPr>
        <a:xfrm>
          <a:off x="2047875" y="23336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2286000</xdr:colOff>
      <xdr:row>15</xdr:row>
      <xdr:rowOff>19048</xdr:rowOff>
    </xdr:from>
    <xdr:ext cx="936000" cy="576000"/>
    <xdr:sp macro="" textlink="" fLocksText="0">
      <xdr:nvSpPr>
        <xdr:cNvPr id="138" name="Gefaltete Ecke 137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/>
      </xdr:nvSpPr>
      <xdr:spPr>
        <a:xfrm>
          <a:off x="2952750" y="32099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962025</xdr:colOff>
      <xdr:row>14</xdr:row>
      <xdr:rowOff>57148</xdr:rowOff>
    </xdr:from>
    <xdr:ext cx="936000" cy="576000"/>
    <xdr:sp macro="" textlink="" fLocksText="0">
      <xdr:nvSpPr>
        <xdr:cNvPr id="139" name="Gefaltete Ecke 138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/>
      </xdr:nvSpPr>
      <xdr:spPr>
        <a:xfrm>
          <a:off x="1428750" y="30479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190500</xdr:colOff>
      <xdr:row>16</xdr:row>
      <xdr:rowOff>171448</xdr:rowOff>
    </xdr:from>
    <xdr:ext cx="936000" cy="576000"/>
    <xdr:sp macro="" textlink="" fLocksText="0">
      <xdr:nvSpPr>
        <xdr:cNvPr id="140" name="Gefaltete Ecke 139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/>
      </xdr:nvSpPr>
      <xdr:spPr>
        <a:xfrm>
          <a:off x="857250" y="35528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1581150</xdr:colOff>
      <xdr:row>18</xdr:row>
      <xdr:rowOff>57148</xdr:rowOff>
    </xdr:from>
    <xdr:ext cx="936000" cy="576000"/>
    <xdr:sp macro="" textlink="" fLocksText="0">
      <xdr:nvSpPr>
        <xdr:cNvPr id="141" name="Gefaltete Ecke 140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/>
      </xdr:nvSpPr>
      <xdr:spPr>
        <a:xfrm>
          <a:off x="2247900" y="38195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2400300</xdr:colOff>
      <xdr:row>11</xdr:row>
      <xdr:rowOff>133348</xdr:rowOff>
    </xdr:from>
    <xdr:ext cx="936000" cy="576000"/>
    <xdr:sp macro="" textlink="" fLocksText="0">
      <xdr:nvSpPr>
        <xdr:cNvPr id="142" name="Gefaltete Ecke 141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/>
      </xdr:nvSpPr>
      <xdr:spPr>
        <a:xfrm>
          <a:off x="3067050" y="25622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19050</xdr:colOff>
      <xdr:row>8</xdr:row>
      <xdr:rowOff>57150</xdr:rowOff>
    </xdr:from>
    <xdr:ext cx="2322431" cy="233205"/>
    <xdr:sp macro="" textlink="' '!A432">
      <xdr:nvSpPr>
        <xdr:cNvPr id="143" name="Textfeld 142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/>
      </xdr:nvSpPr>
      <xdr:spPr>
        <a:xfrm>
          <a:off x="4076700" y="1914525"/>
          <a:ext cx="2322431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fld id="{06D5EF91-BF5A-4A16-9E2A-9F948F9255F0}" type="TxLink">
            <a:rPr lang="en-US" sz="9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/>
            <a:t>Shifts: Long-term, widespread macro changes</a:t>
          </a:fld>
          <a:endParaRPr lang="de-CH" sz="900" b="0" i="0" u="none" strike="noStrike" baseline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2247900</xdr:colOff>
      <xdr:row>8</xdr:row>
      <xdr:rowOff>47625</xdr:rowOff>
    </xdr:from>
    <xdr:ext cx="2665666" cy="233205"/>
    <xdr:sp macro="" textlink="' '!A433">
      <xdr:nvSpPr>
        <xdr:cNvPr id="144" name="Textfeld 143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/>
      </xdr:nvSpPr>
      <xdr:spPr>
        <a:xfrm>
          <a:off x="6305550" y="1905000"/>
          <a:ext cx="2665666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fld id="{6C93401E-6FA7-458A-ADD6-E50FA62156CF}" type="TxLink">
            <a:rPr lang="en-US" sz="9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/>
            <a:t>Triggers: Recent, short-term changes or technologies</a:t>
          </a:fld>
          <a:endParaRPr lang="de-CH" sz="900" b="0" i="0" u="none" strike="noStrike" baseline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133350</xdr:colOff>
      <xdr:row>9</xdr:row>
      <xdr:rowOff>161923</xdr:rowOff>
    </xdr:from>
    <xdr:ext cx="936000" cy="576000"/>
    <xdr:sp macro="" textlink="" fLocksText="0">
      <xdr:nvSpPr>
        <xdr:cNvPr id="145" name="Gefaltete Ecke 144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/>
      </xdr:nvSpPr>
      <xdr:spPr>
        <a:xfrm>
          <a:off x="4191000" y="22097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1219200</xdr:colOff>
      <xdr:row>11</xdr:row>
      <xdr:rowOff>38098</xdr:rowOff>
    </xdr:from>
    <xdr:ext cx="936000" cy="576000"/>
    <xdr:sp macro="" textlink="" fLocksText="0">
      <xdr:nvSpPr>
        <xdr:cNvPr id="146" name="Gefaltete Ecke 145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/>
      </xdr:nvSpPr>
      <xdr:spPr>
        <a:xfrm>
          <a:off x="5276850" y="24669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352425</xdr:colOff>
      <xdr:row>14</xdr:row>
      <xdr:rowOff>85723</xdr:rowOff>
    </xdr:from>
    <xdr:ext cx="936000" cy="576000"/>
    <xdr:sp macro="" textlink="" fLocksText="0">
      <xdr:nvSpPr>
        <xdr:cNvPr id="147" name="Gefaltete Ecke 146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/>
      </xdr:nvSpPr>
      <xdr:spPr>
        <a:xfrm>
          <a:off x="4410075" y="30860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1190625</xdr:colOff>
      <xdr:row>15</xdr:row>
      <xdr:rowOff>28573</xdr:rowOff>
    </xdr:from>
    <xdr:ext cx="936000" cy="576000"/>
    <xdr:sp macro="" textlink="" fLocksText="0">
      <xdr:nvSpPr>
        <xdr:cNvPr id="148" name="Gefaltete Ecke 147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/>
      </xdr:nvSpPr>
      <xdr:spPr>
        <a:xfrm>
          <a:off x="5248275" y="32194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123825</xdr:colOff>
      <xdr:row>18</xdr:row>
      <xdr:rowOff>76198</xdr:rowOff>
    </xdr:from>
    <xdr:ext cx="936000" cy="576000"/>
    <xdr:sp macro="" textlink="" fLocksText="0">
      <xdr:nvSpPr>
        <xdr:cNvPr id="149" name="Gefaltete Ecke 148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/>
      </xdr:nvSpPr>
      <xdr:spPr>
        <a:xfrm>
          <a:off x="4181475" y="38385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2447925</xdr:colOff>
      <xdr:row>9</xdr:row>
      <xdr:rowOff>133348</xdr:rowOff>
    </xdr:from>
    <xdr:ext cx="936000" cy="576000"/>
    <xdr:sp macro="" textlink="" fLocksText="0">
      <xdr:nvSpPr>
        <xdr:cNvPr id="150" name="Gefaltete Ecke 149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/>
      </xdr:nvSpPr>
      <xdr:spPr>
        <a:xfrm>
          <a:off x="6505575" y="21812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2590800</xdr:colOff>
      <xdr:row>13</xdr:row>
      <xdr:rowOff>190498</xdr:rowOff>
    </xdr:from>
    <xdr:ext cx="936000" cy="576000"/>
    <xdr:sp macro="" textlink="" fLocksText="0">
      <xdr:nvSpPr>
        <xdr:cNvPr id="151" name="Gefaltete Ecke 150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/>
      </xdr:nvSpPr>
      <xdr:spPr>
        <a:xfrm>
          <a:off x="6448425" y="29908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3686175</xdr:colOff>
      <xdr:row>18</xdr:row>
      <xdr:rowOff>114298</xdr:rowOff>
    </xdr:from>
    <xdr:ext cx="936000" cy="576000"/>
    <xdr:sp macro="" textlink="" fLocksText="0">
      <xdr:nvSpPr>
        <xdr:cNvPr id="152" name="Gefaltete Ecke 151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/>
      </xdr:nvSpPr>
      <xdr:spPr>
        <a:xfrm>
          <a:off x="7743825" y="38766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2400300</xdr:colOff>
      <xdr:row>18</xdr:row>
      <xdr:rowOff>9523</xdr:rowOff>
    </xdr:from>
    <xdr:ext cx="936000" cy="576000"/>
    <xdr:sp macro="" textlink="" fLocksText="0">
      <xdr:nvSpPr>
        <xdr:cNvPr id="153" name="Gefaltete Ecke 152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/>
      </xdr:nvSpPr>
      <xdr:spPr>
        <a:xfrm>
          <a:off x="6457950" y="37718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3733800</xdr:colOff>
      <xdr:row>9</xdr:row>
      <xdr:rowOff>171448</xdr:rowOff>
    </xdr:from>
    <xdr:ext cx="936000" cy="576000"/>
    <xdr:sp macro="" textlink="" fLocksText="0">
      <xdr:nvSpPr>
        <xdr:cNvPr id="154" name="Gefaltete Ecke 153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/>
      </xdr:nvSpPr>
      <xdr:spPr>
        <a:xfrm>
          <a:off x="7791450" y="22193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3686175</xdr:colOff>
      <xdr:row>13</xdr:row>
      <xdr:rowOff>95248</xdr:rowOff>
    </xdr:from>
    <xdr:ext cx="936000" cy="576000"/>
    <xdr:sp macro="" textlink="" fLocksText="0">
      <xdr:nvSpPr>
        <xdr:cNvPr id="155" name="Gefaltete Ecke 154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/>
      </xdr:nvSpPr>
      <xdr:spPr>
        <a:xfrm>
          <a:off x="7743825" y="29051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1276350</xdr:colOff>
      <xdr:row>18</xdr:row>
      <xdr:rowOff>133348</xdr:rowOff>
    </xdr:from>
    <xdr:ext cx="936000" cy="576000"/>
    <xdr:sp macro="" textlink="" fLocksText="0">
      <xdr:nvSpPr>
        <xdr:cNvPr id="157" name="Gefaltete Ecke 156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/>
      </xdr:nvSpPr>
      <xdr:spPr>
        <a:xfrm>
          <a:off x="5334000" y="38957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76201</xdr:colOff>
      <xdr:row>23</xdr:row>
      <xdr:rowOff>114300</xdr:rowOff>
    </xdr:from>
    <xdr:ext cx="2152650" cy="672479"/>
    <xdr:sp macro="" textlink="' '!A434">
      <xdr:nvSpPr>
        <xdr:cNvPr id="158" name="Gefaltete Ecke 157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/>
      </xdr:nvSpPr>
      <xdr:spPr>
        <a:xfrm>
          <a:off x="742951" y="4905375"/>
          <a:ext cx="2152650" cy="67247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6DDBA9A5-6AFD-4146-A094-DB97820A0FF7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What new consumer needs, wants and expectations are created by the changes identified above? Where and how does this trend satisfy them?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1</xdr:col>
      <xdr:colOff>161925</xdr:colOff>
      <xdr:row>27</xdr:row>
      <xdr:rowOff>152398</xdr:rowOff>
    </xdr:from>
    <xdr:ext cx="936000" cy="576000"/>
    <xdr:sp macro="" textlink="" fLocksText="0">
      <xdr:nvSpPr>
        <xdr:cNvPr id="159" name="Gefaltete Ecke 158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/>
      </xdr:nvSpPr>
      <xdr:spPr>
        <a:xfrm>
          <a:off x="828675" y="57054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2390775</xdr:colOff>
      <xdr:row>24</xdr:row>
      <xdr:rowOff>47623</xdr:rowOff>
    </xdr:from>
    <xdr:ext cx="936000" cy="576000"/>
    <xdr:sp macro="" textlink="" fLocksText="0">
      <xdr:nvSpPr>
        <xdr:cNvPr id="160" name="Gefaltete Ecke 159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/>
      </xdr:nvSpPr>
      <xdr:spPr>
        <a:xfrm>
          <a:off x="3057525" y="50291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1333500</xdr:colOff>
      <xdr:row>27</xdr:row>
      <xdr:rowOff>152398</xdr:rowOff>
    </xdr:from>
    <xdr:ext cx="936000" cy="576000"/>
    <xdr:sp macro="" textlink="" fLocksText="0">
      <xdr:nvSpPr>
        <xdr:cNvPr id="161" name="Gefaltete Ecke 160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/>
      </xdr:nvSpPr>
      <xdr:spPr>
        <a:xfrm>
          <a:off x="2000250" y="57054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2238375</xdr:colOff>
      <xdr:row>32</xdr:row>
      <xdr:rowOff>76198</xdr:rowOff>
    </xdr:from>
    <xdr:ext cx="936000" cy="576000"/>
    <xdr:sp macro="" textlink="" fLocksText="0">
      <xdr:nvSpPr>
        <xdr:cNvPr id="162" name="Gefaltete Ecke 161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/>
      </xdr:nvSpPr>
      <xdr:spPr>
        <a:xfrm>
          <a:off x="2905125" y="65817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857250</xdr:colOff>
      <xdr:row>32</xdr:row>
      <xdr:rowOff>19048</xdr:rowOff>
    </xdr:from>
    <xdr:ext cx="936000" cy="576000"/>
    <xdr:sp macro="" textlink="" fLocksText="0">
      <xdr:nvSpPr>
        <xdr:cNvPr id="163" name="Gefaltete Ecke 162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/>
      </xdr:nvSpPr>
      <xdr:spPr>
        <a:xfrm>
          <a:off x="1524000" y="65246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142875</xdr:colOff>
      <xdr:row>34</xdr:row>
      <xdr:rowOff>38098</xdr:rowOff>
    </xdr:from>
    <xdr:ext cx="936000" cy="576000"/>
    <xdr:sp macro="" textlink="" fLocksText="0">
      <xdr:nvSpPr>
        <xdr:cNvPr id="164" name="Gefaltete Ecke 163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/>
      </xdr:nvSpPr>
      <xdr:spPr>
        <a:xfrm>
          <a:off x="809625" y="69246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1533525</xdr:colOff>
      <xdr:row>35</xdr:row>
      <xdr:rowOff>114298</xdr:rowOff>
    </xdr:from>
    <xdr:ext cx="936000" cy="576000"/>
    <xdr:sp macro="" textlink="" fLocksText="0">
      <xdr:nvSpPr>
        <xdr:cNvPr id="165" name="Gefaltete Ecke 164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/>
      </xdr:nvSpPr>
      <xdr:spPr>
        <a:xfrm>
          <a:off x="2200275" y="71913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2352675</xdr:colOff>
      <xdr:row>28</xdr:row>
      <xdr:rowOff>190498</xdr:rowOff>
    </xdr:from>
    <xdr:ext cx="936000" cy="576000"/>
    <xdr:sp macro="" textlink="" fLocksText="0">
      <xdr:nvSpPr>
        <xdr:cNvPr id="166" name="Gefaltete Ecke 165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/>
      </xdr:nvSpPr>
      <xdr:spPr>
        <a:xfrm>
          <a:off x="3019425" y="59340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161925</xdr:colOff>
      <xdr:row>26</xdr:row>
      <xdr:rowOff>180973</xdr:rowOff>
    </xdr:from>
    <xdr:ext cx="936000" cy="576000"/>
    <xdr:sp macro="" textlink="" fLocksText="0">
      <xdr:nvSpPr>
        <xdr:cNvPr id="167" name="Gefaltete Ecke 166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/>
      </xdr:nvSpPr>
      <xdr:spPr>
        <a:xfrm>
          <a:off x="4219575" y="55435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1619250</xdr:colOff>
      <xdr:row>24</xdr:row>
      <xdr:rowOff>104773</xdr:rowOff>
    </xdr:from>
    <xdr:ext cx="936000" cy="576000"/>
    <xdr:sp macro="" textlink="" fLocksText="0">
      <xdr:nvSpPr>
        <xdr:cNvPr id="168" name="Gefaltete Ecke 167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/>
      </xdr:nvSpPr>
      <xdr:spPr>
        <a:xfrm>
          <a:off x="5676900" y="50863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381000</xdr:colOff>
      <xdr:row>31</xdr:row>
      <xdr:rowOff>104773</xdr:rowOff>
    </xdr:from>
    <xdr:ext cx="936000" cy="576000"/>
    <xdr:sp macro="" textlink="" fLocksText="0">
      <xdr:nvSpPr>
        <xdr:cNvPr id="169" name="Gefaltete Ecke 168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/>
      </xdr:nvSpPr>
      <xdr:spPr>
        <a:xfrm>
          <a:off x="4438650" y="64198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1476375</xdr:colOff>
      <xdr:row>30</xdr:row>
      <xdr:rowOff>95248</xdr:rowOff>
    </xdr:from>
    <xdr:ext cx="936000" cy="576000"/>
    <xdr:sp macro="" textlink="" fLocksText="0">
      <xdr:nvSpPr>
        <xdr:cNvPr id="170" name="Gefaltete Ecke 169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/>
      </xdr:nvSpPr>
      <xdr:spPr>
        <a:xfrm>
          <a:off x="5534025" y="62198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152400</xdr:colOff>
      <xdr:row>35</xdr:row>
      <xdr:rowOff>95248</xdr:rowOff>
    </xdr:from>
    <xdr:ext cx="936000" cy="576000"/>
    <xdr:sp macro="" textlink="" fLocksText="0">
      <xdr:nvSpPr>
        <xdr:cNvPr id="171" name="Gefaltete Ecke 170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/>
      </xdr:nvSpPr>
      <xdr:spPr>
        <a:xfrm>
          <a:off x="4210050" y="71723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3324225</xdr:colOff>
      <xdr:row>23</xdr:row>
      <xdr:rowOff>133348</xdr:rowOff>
    </xdr:from>
    <xdr:ext cx="936000" cy="576000"/>
    <xdr:sp macro="" textlink="" fLocksText="0">
      <xdr:nvSpPr>
        <xdr:cNvPr id="172" name="Gefaltete Ecke 171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/>
      </xdr:nvSpPr>
      <xdr:spPr>
        <a:xfrm>
          <a:off x="7181850" y="49148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2686050</xdr:colOff>
      <xdr:row>28</xdr:row>
      <xdr:rowOff>57148</xdr:rowOff>
    </xdr:from>
    <xdr:ext cx="936000" cy="576000"/>
    <xdr:sp macro="" textlink="" fLocksText="0">
      <xdr:nvSpPr>
        <xdr:cNvPr id="173" name="Gefaltete Ecke 172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/>
      </xdr:nvSpPr>
      <xdr:spPr>
        <a:xfrm>
          <a:off x="6743700" y="58007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3486150</xdr:colOff>
      <xdr:row>34</xdr:row>
      <xdr:rowOff>180973</xdr:rowOff>
    </xdr:from>
    <xdr:ext cx="936000" cy="576000"/>
    <xdr:sp macro="" textlink="" fLocksText="0">
      <xdr:nvSpPr>
        <xdr:cNvPr id="174" name="Gefaltete Ecke 173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/>
      </xdr:nvSpPr>
      <xdr:spPr>
        <a:xfrm>
          <a:off x="7543800" y="70675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3771900</xdr:colOff>
      <xdr:row>30</xdr:row>
      <xdr:rowOff>38098</xdr:rowOff>
    </xdr:from>
    <xdr:ext cx="936000" cy="576000"/>
    <xdr:sp macro="" textlink="" fLocksText="0">
      <xdr:nvSpPr>
        <xdr:cNvPr id="175" name="Gefaltete Ecke 174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/>
      </xdr:nvSpPr>
      <xdr:spPr>
        <a:xfrm>
          <a:off x="7829550" y="61626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2286000</xdr:colOff>
      <xdr:row>34</xdr:row>
      <xdr:rowOff>76198</xdr:rowOff>
    </xdr:from>
    <xdr:ext cx="936000" cy="576000"/>
    <xdr:sp macro="" textlink="" fLocksText="0">
      <xdr:nvSpPr>
        <xdr:cNvPr id="176" name="Gefaltete Ecke 175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/>
      </xdr:nvSpPr>
      <xdr:spPr>
        <a:xfrm>
          <a:off x="6343650" y="69627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1495425</xdr:colOff>
      <xdr:row>8</xdr:row>
      <xdr:rowOff>47623</xdr:rowOff>
    </xdr:from>
    <xdr:ext cx="936000" cy="576000"/>
    <xdr:sp macro="" textlink="" fLocksText="0">
      <xdr:nvSpPr>
        <xdr:cNvPr id="177" name="Gefaltete Ecke 176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/>
      </xdr:nvSpPr>
      <xdr:spPr>
        <a:xfrm>
          <a:off x="10315575" y="19049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180975</xdr:colOff>
      <xdr:row>9</xdr:row>
      <xdr:rowOff>161923</xdr:rowOff>
    </xdr:from>
    <xdr:ext cx="936000" cy="576000"/>
    <xdr:sp macro="" textlink="" fLocksText="0">
      <xdr:nvSpPr>
        <xdr:cNvPr id="178" name="Gefaltete Ecke 177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/>
      </xdr:nvSpPr>
      <xdr:spPr>
        <a:xfrm>
          <a:off x="9001125" y="22097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561975</xdr:colOff>
      <xdr:row>18</xdr:row>
      <xdr:rowOff>9523</xdr:rowOff>
    </xdr:from>
    <xdr:ext cx="936000" cy="576000"/>
    <xdr:sp macro="" textlink="" fLocksText="0">
      <xdr:nvSpPr>
        <xdr:cNvPr id="179" name="Gefaltete Ecke 178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/>
      </xdr:nvSpPr>
      <xdr:spPr>
        <a:xfrm>
          <a:off x="9382125" y="37718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161925</xdr:colOff>
      <xdr:row>14</xdr:row>
      <xdr:rowOff>57148</xdr:rowOff>
    </xdr:from>
    <xdr:ext cx="936000" cy="576000"/>
    <xdr:sp macro="" textlink="" fLocksText="0">
      <xdr:nvSpPr>
        <xdr:cNvPr id="180" name="Gefaltete Ecke 179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/>
      </xdr:nvSpPr>
      <xdr:spPr>
        <a:xfrm>
          <a:off x="8982075" y="30575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2743200</xdr:colOff>
      <xdr:row>7</xdr:row>
      <xdr:rowOff>161923</xdr:rowOff>
    </xdr:from>
    <xdr:ext cx="936000" cy="576000"/>
    <xdr:sp macro="" textlink="" fLocksText="0">
      <xdr:nvSpPr>
        <xdr:cNvPr id="181" name="Gefaltete Ecke 180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/>
      </xdr:nvSpPr>
      <xdr:spPr>
        <a:xfrm>
          <a:off x="11563350" y="18287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1619250</xdr:colOff>
      <xdr:row>12</xdr:row>
      <xdr:rowOff>28573</xdr:rowOff>
    </xdr:from>
    <xdr:ext cx="936000" cy="576000"/>
    <xdr:sp macro="" textlink="" fLocksText="0">
      <xdr:nvSpPr>
        <xdr:cNvPr id="182" name="Gefaltete Ecke 181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/>
      </xdr:nvSpPr>
      <xdr:spPr>
        <a:xfrm>
          <a:off x="10439400" y="26479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2695575</xdr:colOff>
      <xdr:row>28</xdr:row>
      <xdr:rowOff>9523</xdr:rowOff>
    </xdr:from>
    <xdr:ext cx="936000" cy="576000"/>
    <xdr:sp macro="" textlink="" fLocksText="0">
      <xdr:nvSpPr>
        <xdr:cNvPr id="183" name="Gefaltete Ecke 182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/>
      </xdr:nvSpPr>
      <xdr:spPr>
        <a:xfrm>
          <a:off x="11515725" y="57530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219075</xdr:colOff>
      <xdr:row>29</xdr:row>
      <xdr:rowOff>19048</xdr:rowOff>
    </xdr:from>
    <xdr:ext cx="936000" cy="576000"/>
    <xdr:sp macro="" textlink="" fLocksText="0">
      <xdr:nvSpPr>
        <xdr:cNvPr id="184" name="Gefaltete Ecke 183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/>
      </xdr:nvSpPr>
      <xdr:spPr>
        <a:xfrm>
          <a:off x="9039225" y="59531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1323975</xdr:colOff>
      <xdr:row>35</xdr:row>
      <xdr:rowOff>76198</xdr:rowOff>
    </xdr:from>
    <xdr:ext cx="936000" cy="576000"/>
    <xdr:sp macro="" textlink="" fLocksText="0">
      <xdr:nvSpPr>
        <xdr:cNvPr id="185" name="Gefaltete Ecke 184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/>
      </xdr:nvSpPr>
      <xdr:spPr>
        <a:xfrm>
          <a:off x="10144125" y="71532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200025</xdr:colOff>
      <xdr:row>33</xdr:row>
      <xdr:rowOff>104773</xdr:rowOff>
    </xdr:from>
    <xdr:ext cx="936000" cy="576000"/>
    <xdr:sp macro="" textlink="" fLocksText="0">
      <xdr:nvSpPr>
        <xdr:cNvPr id="186" name="Gefaltete Ecke 185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/>
      </xdr:nvSpPr>
      <xdr:spPr>
        <a:xfrm>
          <a:off x="9020175" y="68008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1619250</xdr:colOff>
      <xdr:row>31</xdr:row>
      <xdr:rowOff>38098</xdr:rowOff>
    </xdr:from>
    <xdr:ext cx="936000" cy="576000"/>
    <xdr:sp macro="" textlink="" fLocksText="0">
      <xdr:nvSpPr>
        <xdr:cNvPr id="187" name="Gefaltete Ecke 186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/>
      </xdr:nvSpPr>
      <xdr:spPr>
        <a:xfrm>
          <a:off x="10439400" y="63531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1447800</xdr:colOff>
      <xdr:row>27</xdr:row>
      <xdr:rowOff>114298</xdr:rowOff>
    </xdr:from>
    <xdr:ext cx="936000" cy="576000"/>
    <xdr:sp macro="" textlink="" fLocksText="0">
      <xdr:nvSpPr>
        <xdr:cNvPr id="188" name="Gefaltete Ecke 187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/>
      </xdr:nvSpPr>
      <xdr:spPr>
        <a:xfrm>
          <a:off x="10267950" y="56673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twoCellAnchor>
    <xdr:from>
      <xdr:col>4</xdr:col>
      <xdr:colOff>1828800</xdr:colOff>
      <xdr:row>18</xdr:row>
      <xdr:rowOff>66675</xdr:rowOff>
    </xdr:from>
    <xdr:to>
      <xdr:col>4</xdr:col>
      <xdr:colOff>3590925</xdr:colOff>
      <xdr:row>27</xdr:row>
      <xdr:rowOff>38100</xdr:rowOff>
    </xdr:to>
    <xdr:sp macro="" textlink="">
      <xdr:nvSpPr>
        <xdr:cNvPr id="189" name="Ellipse 188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/>
      </xdr:nvSpPr>
      <xdr:spPr>
        <a:xfrm>
          <a:off x="10648950" y="3829050"/>
          <a:ext cx="1762125" cy="176212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de-CH" sz="1100" baseline="0"/>
            <a:t>Your innovation(s!)</a:t>
          </a:r>
        </a:p>
      </xdr:txBody>
    </xdr:sp>
    <xdr:clientData/>
  </xdr:twoCellAnchor>
  <xdr:oneCellAnchor>
    <xdr:from>
      <xdr:col>4</xdr:col>
      <xdr:colOff>2705100</xdr:colOff>
      <xdr:row>14</xdr:row>
      <xdr:rowOff>114298</xdr:rowOff>
    </xdr:from>
    <xdr:ext cx="936000" cy="576000"/>
    <xdr:sp macro="" textlink="" fLocksText="0">
      <xdr:nvSpPr>
        <xdr:cNvPr id="190" name="Gefaltete Ecke 189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/>
      </xdr:nvSpPr>
      <xdr:spPr>
        <a:xfrm>
          <a:off x="11525250" y="31146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2619375</xdr:colOff>
      <xdr:row>34</xdr:row>
      <xdr:rowOff>85723</xdr:rowOff>
    </xdr:from>
    <xdr:ext cx="936000" cy="576000"/>
    <xdr:sp macro="" textlink="" fLocksText="0">
      <xdr:nvSpPr>
        <xdr:cNvPr id="191" name="Gefaltete Ecke 190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/>
      </xdr:nvSpPr>
      <xdr:spPr>
        <a:xfrm>
          <a:off x="11439525" y="69722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twoCellAnchor>
    <xdr:from>
      <xdr:col>1</xdr:col>
      <xdr:colOff>0</xdr:colOff>
      <xdr:row>4</xdr:row>
      <xdr:rowOff>19050</xdr:rowOff>
    </xdr:from>
    <xdr:to>
      <xdr:col>2</xdr:col>
      <xdr:colOff>4800600</xdr:colOff>
      <xdr:row>4</xdr:row>
      <xdr:rowOff>19050</xdr:rowOff>
    </xdr:to>
    <xdr:cxnSp macro="">
      <xdr:nvCxnSpPr>
        <xdr:cNvPr id="193" name="Gerader Verbinder 192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CxnSpPr/>
      </xdr:nvCxnSpPr>
      <xdr:spPr>
        <a:xfrm>
          <a:off x="466725" y="1276350"/>
          <a:ext cx="8191500" cy="0"/>
        </a:xfrm>
        <a:prstGeom prst="line">
          <a:avLst/>
        </a:prstGeom>
        <a:ln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4</xdr:row>
      <xdr:rowOff>19050</xdr:rowOff>
    </xdr:from>
    <xdr:to>
      <xdr:col>5</xdr:col>
      <xdr:colOff>0</xdr:colOff>
      <xdr:row>4</xdr:row>
      <xdr:rowOff>19050</xdr:rowOff>
    </xdr:to>
    <xdr:cxnSp macro="">
      <xdr:nvCxnSpPr>
        <xdr:cNvPr id="194" name="Gerader Verbinder 193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CxnSpPr/>
      </xdr:nvCxnSpPr>
      <xdr:spPr>
        <a:xfrm>
          <a:off x="8839200" y="1276350"/>
          <a:ext cx="3686175" cy="0"/>
        </a:xfrm>
        <a:prstGeom prst="line">
          <a:avLst/>
        </a:prstGeom>
        <a:ln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93721</xdr:colOff>
      <xdr:row>3</xdr:row>
      <xdr:rowOff>66675</xdr:rowOff>
    </xdr:from>
    <xdr:ext cx="1222258" cy="288000"/>
    <xdr:sp macro="" textlink="">
      <xdr:nvSpPr>
        <xdr:cNvPr id="196" name="Textfeld 195">
          <a:extLst>
            <a:ext uri="{FF2B5EF4-FFF2-40B4-BE49-F238E27FC236}">
              <a16:creationId xmlns:a16="http://schemas.microsoft.com/office/drawing/2014/main" id="{00000000-0008-0000-0A00-0000C4000000}"/>
            </a:ext>
          </a:extLst>
        </xdr:cNvPr>
        <xdr:cNvSpPr txBox="1"/>
      </xdr:nvSpPr>
      <xdr:spPr>
        <a:xfrm>
          <a:off x="3951346" y="1114425"/>
          <a:ext cx="1222258" cy="28800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CH" sz="1400">
              <a:solidFill>
                <a:schemeClr val="bg1">
                  <a:lumMod val="50000"/>
                </a:schemeClr>
              </a:solidFill>
            </a:rPr>
            <a:t>1. Understand</a:t>
          </a:r>
        </a:p>
      </xdr:txBody>
    </xdr:sp>
    <xdr:clientData/>
  </xdr:oneCellAnchor>
  <xdr:oneCellAnchor>
    <xdr:from>
      <xdr:col>4</xdr:col>
      <xdr:colOff>1473858</xdr:colOff>
      <xdr:row>3</xdr:row>
      <xdr:rowOff>45402</xdr:rowOff>
    </xdr:from>
    <xdr:ext cx="776559" cy="311496"/>
    <xdr:sp macro="" textlink="">
      <xdr:nvSpPr>
        <xdr:cNvPr id="197" name="Textfeld 196">
          <a:extLst>
            <a:ext uri="{FF2B5EF4-FFF2-40B4-BE49-F238E27FC236}">
              <a16:creationId xmlns:a16="http://schemas.microsoft.com/office/drawing/2014/main" id="{00000000-0008-0000-0A00-0000C5000000}"/>
            </a:ext>
          </a:extLst>
        </xdr:cNvPr>
        <xdr:cNvSpPr txBox="1"/>
      </xdr:nvSpPr>
      <xdr:spPr>
        <a:xfrm>
          <a:off x="10294008" y="1093152"/>
          <a:ext cx="776559" cy="311496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CH" sz="1400">
              <a:solidFill>
                <a:schemeClr val="bg1">
                  <a:lumMod val="50000"/>
                </a:schemeClr>
              </a:solidFill>
            </a:rPr>
            <a:t>2. Apply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1495425</xdr:colOff>
          <xdr:row>0</xdr:row>
          <xdr:rowOff>19050</xdr:rowOff>
        </xdr:from>
        <xdr:to>
          <xdr:col>4</xdr:col>
          <xdr:colOff>3703320</xdr:colOff>
          <xdr:row>0</xdr:row>
          <xdr:rowOff>552450</xdr:rowOff>
        </xdr:to>
        <xdr:pic>
          <xdr:nvPicPr>
            <xdr:cNvPr id="75" name="Grafik 59">
              <a:extLst>
                <a:ext uri="{FF2B5EF4-FFF2-40B4-BE49-F238E27FC236}">
                  <a16:creationId xmlns:a16="http://schemas.microsoft.com/office/drawing/2014/main" id="{00000000-0008-0000-0A00-00004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5973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031557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298079</xdr:colOff>
      <xdr:row>2</xdr:row>
      <xdr:rowOff>68032</xdr:rowOff>
    </xdr:from>
    <xdr:to>
      <xdr:col>9</xdr:col>
      <xdr:colOff>487048</xdr:colOff>
      <xdr:row>37</xdr:row>
      <xdr:rowOff>131407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>
          <a:grpSpLocks noChangeAspect="1"/>
        </xdr:cNvGrpSpPr>
      </xdr:nvGrpSpPr>
      <xdr:grpSpPr>
        <a:xfrm>
          <a:off x="298079" y="906232"/>
          <a:ext cx="6947909" cy="6334635"/>
          <a:chOff x="298077" y="906232"/>
          <a:chExt cx="7798174" cy="7609118"/>
        </a:xfrm>
      </xdr:grpSpPr>
      <xdr:sp macro="" textlink="">
        <xdr:nvSpPr>
          <xdr:cNvPr id="3" name="Textfeld 2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 txBox="1"/>
        </xdr:nvSpPr>
        <xdr:spPr>
          <a:xfrm rot="16200000">
            <a:off x="892399" y="5052039"/>
            <a:ext cx="185557" cy="53065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kumimoji="0" lang="de-CH" sz="1400" b="0" i="0" u="none" strike="noStrike" kern="0" cap="none" spc="0" normalizeH="0" baseline="0">
              <a:ln>
                <a:noFill/>
              </a:ln>
              <a:solidFill>
                <a:srgbClr val="1F497D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  <a:p>
            <a:endParaRPr kumimoji="0" lang="de-CH" sz="1400" b="0" i="0" u="none" strike="noStrike" kern="0" cap="none" spc="0" normalizeH="0" baseline="0">
              <a:ln>
                <a:noFill/>
              </a:ln>
              <a:solidFill>
                <a:srgbClr val="1F497D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Rechteck 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SpPr>
            <a:spLocks/>
          </xdr:cNvSpPr>
        </xdr:nvSpPr>
        <xdr:spPr>
          <a:xfrm>
            <a:off x="298077" y="906232"/>
            <a:ext cx="7792570" cy="7609118"/>
          </a:xfrm>
          <a:prstGeom prst="rect">
            <a:avLst/>
          </a:prstGeom>
          <a:solidFill>
            <a:schemeClr val="bg1">
              <a:lumMod val="95000"/>
            </a:schemeClr>
          </a:solidFill>
          <a:ln w="3175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  <xdr:sp macro="" textlink="' '!A550">
        <xdr:nvSpPr>
          <xdr:cNvPr id="5" name="Rechteck 4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/>
        </xdr:nvSpPr>
        <xdr:spPr>
          <a:xfrm>
            <a:off x="2767268" y="1323682"/>
            <a:ext cx="3089486" cy="2981363"/>
          </a:xfrm>
          <a:prstGeom prst="rect">
            <a:avLst/>
          </a:prstGeom>
        </xdr:spPr>
        <xdr:txBody>
          <a:bodyPr spcFirstLastPara="1" wrap="square" numCol="1">
            <a:prstTxWarp prst="textArchUp">
              <a:avLst>
                <a:gd name="adj" fmla="val 5492781"/>
              </a:avLst>
            </a:prstTxWarp>
            <a:noAutofit/>
            <a:scene3d>
              <a:camera prst="orthographicFront"/>
              <a:lightRig rig="threePt" dir="t"/>
            </a:scene3d>
            <a:sp3d extrusionH="57150">
              <a:bevelT h="25400" prst="softRound"/>
            </a:sp3d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 marL="0" lvl="0" indent="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</a:pPr>
            <a:fld id="{F103D607-2DE4-4CAB-8647-8B32E00361AA}" type="TxLink">
              <a:rPr lang="en-US" sz="2400" b="1" kern="1200">
                <a:ln w="1905"/>
                <a:solidFill>
                  <a:schemeClr val="accent1">
                    <a:lumMod val="60000"/>
                    <a:lumOff val="40000"/>
                  </a:schemeClr>
                </a:solidFill>
                <a:effectLst>
                  <a:innerShdw blurRad="69850" dist="43180" dir="5400000">
                    <a:srgbClr val="000000">
                      <a:alpha val="65000"/>
                    </a:srgbClr>
                  </a:innerShdw>
                </a:effectLst>
                <a:latin typeface="Arial" pitchFamily="34" charset="0"/>
                <a:ea typeface="+mn-ea"/>
                <a:cs typeface="+mn-cs"/>
              </a:rPr>
              <a:pPr marL="0" lvl="0" indent="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</a:pPr>
              <a:t>Effektivität (do the right things)</a:t>
            </a:fld>
            <a:endParaRPr lang="de-CH" sz="2400" b="1" kern="1200">
              <a:ln w="1905"/>
              <a:solidFill>
                <a:schemeClr val="accent1">
                  <a:lumMod val="60000"/>
                  <a:lumOff val="4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Arial" pitchFamily="34" charset="0"/>
              <a:ea typeface="+mn-ea"/>
              <a:cs typeface="+mn-cs"/>
            </a:endParaRPr>
          </a:p>
        </xdr:txBody>
      </xdr:sp>
      <xdr:sp macro="" textlink="">
        <xdr:nvSpPr>
          <xdr:cNvPr id="6" name="Oval 13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882606" y="4846673"/>
            <a:ext cx="2821117" cy="2830709"/>
          </a:xfrm>
          <a:prstGeom prst="ellipse">
            <a:avLst/>
          </a:prstGeom>
          <a:solidFill>
            <a:schemeClr val="accent1">
              <a:lumMod val="40000"/>
              <a:lumOff val="60000"/>
            </a:schemeClr>
          </a:solidFill>
          <a:ln w="3175">
            <a:solidFill>
              <a:schemeClr val="accent1">
                <a:lumMod val="60000"/>
                <a:lumOff val="40000"/>
              </a:schemeClr>
            </a:solidFill>
            <a:headEnd/>
            <a:tailEnd/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>
              <a:defRPr/>
            </a:pPr>
            <a:endParaRPr lang="de-CH" sz="1200"/>
          </a:p>
        </xdr:txBody>
      </xdr:sp>
      <xdr:sp macro="" textlink="' '!A564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B00-000007000000}"/>
              </a:ext>
            </a:extLst>
          </xdr:cNvPr>
          <xdr:cNvSpPr/>
        </xdr:nvSpPr>
        <xdr:spPr>
          <a:xfrm rot="16200000">
            <a:off x="708311" y="4768567"/>
            <a:ext cx="3040543" cy="2971264"/>
          </a:xfrm>
          <a:prstGeom prst="rect">
            <a:avLst/>
          </a:prstGeom>
        </xdr:spPr>
        <xdr:txBody>
          <a:bodyPr spcFirstLastPara="1" wrap="square" numCol="1">
            <a:prstTxWarp prst="textArchUp">
              <a:avLst>
                <a:gd name="adj" fmla="val 5492781"/>
              </a:avLst>
            </a:prstTxWarp>
            <a:noAutofit/>
            <a:scene3d>
              <a:camera prst="orthographicFront"/>
              <a:lightRig rig="threePt" dir="t"/>
            </a:scene3d>
            <a:sp3d extrusionH="57150">
              <a:bevelT h="25400" prst="softRound"/>
            </a:sp3d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 lvl="0"/>
            <a:fld id="{CE5A31B5-36D5-4D4B-9CB7-7C236DDCD509}" type="TxLink">
              <a:rPr lang="en-US" sz="2400" b="1" kern="1200">
                <a:ln w="1905"/>
                <a:solidFill>
                  <a:schemeClr val="accent1">
                    <a:lumMod val="75000"/>
                  </a:schemeClr>
                </a:solidFill>
                <a:effectLst>
                  <a:innerShdw blurRad="69850" dist="43180" dir="5400000">
                    <a:srgbClr val="000000">
                      <a:alpha val="65000"/>
                    </a:srgbClr>
                  </a:innerShdw>
                </a:effectLst>
                <a:latin typeface="Arial" pitchFamily="34" charset="0"/>
                <a:ea typeface="+mn-ea"/>
                <a:cs typeface="+mn-cs"/>
              </a:rPr>
              <a:pPr lvl="0"/>
              <a:t>Effizienz (do the things right)</a:t>
            </a:fld>
            <a:endParaRPr lang="de-CH" sz="2400" b="1" kern="1200">
              <a:ln w="1905"/>
              <a:solidFill>
                <a:schemeClr val="accent1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Arial" pitchFamily="34" charset="0"/>
              <a:ea typeface="+mn-ea"/>
              <a:cs typeface="+mn-cs"/>
            </a:endParaRPr>
          </a:p>
        </xdr:txBody>
      </xdr:sp>
      <xdr:sp macro="" textlink="">
        <xdr:nvSpPr>
          <xdr:cNvPr id="8" name="Oval 13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4888704" y="4846673"/>
            <a:ext cx="2821120" cy="2830709"/>
          </a:xfrm>
          <a:prstGeom prst="ellipse">
            <a:avLst/>
          </a:prstGeom>
          <a:solidFill>
            <a:schemeClr val="accent1">
              <a:lumMod val="60000"/>
              <a:lumOff val="40000"/>
            </a:schemeClr>
          </a:solidFill>
          <a:ln w="3175">
            <a:solidFill>
              <a:schemeClr val="accent1">
                <a:lumMod val="75000"/>
              </a:schemeClr>
            </a:solidFill>
            <a:headEnd/>
            <a:tailEnd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>
              <a:defRPr/>
            </a:pPr>
            <a:endParaRPr lang="de-CH" sz="1000"/>
          </a:p>
        </xdr:txBody>
      </xdr:sp>
      <xdr:sp macro="" textlink="' '!A571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SpPr/>
        </xdr:nvSpPr>
        <xdr:spPr>
          <a:xfrm rot="5400000">
            <a:off x="4831400" y="4816803"/>
            <a:ext cx="3076911" cy="2971264"/>
          </a:xfrm>
          <a:prstGeom prst="rect">
            <a:avLst/>
          </a:prstGeom>
        </xdr:spPr>
        <xdr:txBody>
          <a:bodyPr spcFirstLastPara="1" wrap="square" numCol="1">
            <a:prstTxWarp prst="textArchUp">
              <a:avLst>
                <a:gd name="adj" fmla="val 5492781"/>
              </a:avLst>
            </a:prstTxWarp>
            <a:noAutofit/>
            <a:scene3d>
              <a:camera prst="orthographicFront"/>
              <a:lightRig rig="threePt" dir="t"/>
            </a:scene3d>
            <a:sp3d extrusionH="57150">
              <a:bevelT h="25400" prst="softRound"/>
            </a:sp3d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 lvl="0"/>
            <a:fld id="{C8032CBE-73A9-4760-9834-04139E547910}" type="TxLink">
              <a:rPr lang="en-US" sz="2400" b="1" kern="1200">
                <a:ln w="1905"/>
                <a:solidFill>
                  <a:schemeClr val="accent1">
                    <a:lumMod val="50000"/>
                  </a:schemeClr>
                </a:solidFill>
                <a:effectLst>
                  <a:innerShdw blurRad="69850" dist="43180" dir="5400000">
                    <a:srgbClr val="000000">
                      <a:alpha val="65000"/>
                    </a:srgbClr>
                  </a:innerShdw>
                </a:effectLst>
                <a:latin typeface="Arial" pitchFamily="34" charset="0"/>
                <a:ea typeface="+mn-ea"/>
                <a:cs typeface="+mn-cs"/>
              </a:rPr>
              <a:pPr lvl="0"/>
              <a:t>Entwicklung (do new things)</a:t>
            </a:fld>
            <a:endParaRPr lang="de-CH" sz="2400" b="1" kern="1200">
              <a:ln w="1905"/>
              <a:solidFill>
                <a:schemeClr val="accent1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Arial" pitchFamily="34" charset="0"/>
              <a:ea typeface="+mn-ea"/>
              <a:cs typeface="+mn-cs"/>
            </a:endParaRPr>
          </a:p>
        </xdr:txBody>
      </xdr:sp>
      <xdr:sp macro="" textlink="' '!A565">
        <xdr:nvSpPr>
          <xdr:cNvPr id="10" name="Abgerundetes Rechteck 9">
            <a:extLst>
              <a:ext uri="{FF2B5EF4-FFF2-40B4-BE49-F238E27FC236}">
                <a16:creationId xmlns:a16="http://schemas.microsoft.com/office/drawing/2014/main" id="{00000000-0008-0000-0B00-00000A000000}"/>
              </a:ext>
            </a:extLst>
          </xdr:cNvPr>
          <xdr:cNvSpPr/>
        </xdr:nvSpPr>
        <xdr:spPr>
          <a:xfrm>
            <a:off x="1358112" y="5317831"/>
            <a:ext cx="1127914" cy="187619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 w="3175">
            <a:noFill/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algn="ctr"/>
            <a:fld id="{FF360FAD-BAF0-4126-AB83-BBEFABC3F9C1}" type="TxLink">
              <a:rPr lang="en-US" sz="1100" b="0" i="0" u="none" strike="noStrike">
                <a:solidFill>
                  <a:srgbClr val="000000"/>
                </a:solidFill>
                <a:latin typeface="Calibri"/>
              </a:rPr>
              <a:pPr algn="ctr"/>
              <a:t>Controlling</a:t>
            </a:fld>
            <a:endParaRPr lang="de-CH" sz="1100" b="0"/>
          </a:p>
        </xdr:txBody>
      </xdr:sp>
      <xdr:sp macro="" textlink="' '!A573">
        <xdr:nvSpPr>
          <xdr:cNvPr id="11" name="Abgerundetes Rechteck 10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/>
        </xdr:nvSpPr>
        <xdr:spPr>
          <a:xfrm>
            <a:off x="6136544" y="5317831"/>
            <a:ext cx="1346155" cy="215693"/>
          </a:xfrm>
          <a:prstGeom prst="roundRect">
            <a:avLst/>
          </a:prstGeom>
          <a:noFill/>
          <a:ln w="3175">
            <a:noFill/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61EC9800-6B1A-4DDA-8D14-E8F30B124F98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+mn-cs"/>
              </a:rPr>
              <a:pPr marL="0" indent="0" algn="ctr"/>
              <a:t>Untern.gründung</a:t>
            </a:fld>
            <a:endParaRPr lang="de-CH" sz="1100" b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" name="Oval 13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2889231" y="1454264"/>
            <a:ext cx="2821120" cy="2830709"/>
          </a:xfrm>
          <a:prstGeom prst="ellipse">
            <a:avLst/>
          </a:prstGeom>
          <a:solidFill>
            <a:schemeClr val="accent1">
              <a:lumMod val="20000"/>
              <a:lumOff val="80000"/>
            </a:schemeClr>
          </a:solidFill>
          <a:ln w="3175">
            <a:solidFill>
              <a:schemeClr val="accent1">
                <a:lumMod val="40000"/>
                <a:lumOff val="60000"/>
              </a:schemeClr>
            </a:solidFill>
            <a:headEnd/>
            <a:tailEnd/>
          </a:ln>
          <a:effectLst/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>
              <a:defRPr/>
            </a:pPr>
            <a:endParaRPr lang="de-CH" sz="1200"/>
          </a:p>
        </xdr:txBody>
      </xdr:sp>
      <xdr:grpSp>
        <xdr:nvGrpSpPr>
          <xdr:cNvPr id="13" name="Gruppieren 12">
            <a:extLst>
              <a:ext uri="{FF2B5EF4-FFF2-40B4-BE49-F238E27FC236}">
                <a16:creationId xmlns:a16="http://schemas.microsoft.com/office/drawing/2014/main" id="{00000000-0008-0000-0B00-00000D000000}"/>
              </a:ext>
            </a:extLst>
          </xdr:cNvPr>
          <xdr:cNvGrpSpPr/>
        </xdr:nvGrpSpPr>
        <xdr:grpSpPr>
          <a:xfrm>
            <a:off x="4175331" y="1877614"/>
            <a:ext cx="258449" cy="1208692"/>
            <a:chOff x="4631530" y="577546"/>
            <a:chExt cx="222516" cy="1037119"/>
          </a:xfrm>
        </xdr:grpSpPr>
        <xdr:sp macro="" textlink="">
          <xdr:nvSpPr>
            <xdr:cNvPr id="14" name="Pfeil nach unten 13">
              <a:extLst>
                <a:ext uri="{FF2B5EF4-FFF2-40B4-BE49-F238E27FC236}">
                  <a16:creationId xmlns:a16="http://schemas.microsoft.com/office/drawing/2014/main" id="{00000000-0008-0000-0B00-00000E000000}"/>
                </a:ext>
              </a:extLst>
            </xdr:cNvPr>
            <xdr:cNvSpPr/>
          </xdr:nvSpPr>
          <xdr:spPr bwMode="auto">
            <a:xfrm>
              <a:off x="4637104" y="577546"/>
              <a:ext cx="214314" cy="185339"/>
            </a:xfrm>
            <a:prstGeom prst="downArrow">
              <a:avLst/>
            </a:prstGeom>
            <a:noFill/>
            <a:ln w="3175" cap="flat" cmpd="sng" algn="ctr">
              <a:solidFill>
                <a:schemeClr val="accent1">
                  <a:lumMod val="75000"/>
                </a:schemeClr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="horz" wrap="square" lIns="0" tIns="0" rIns="0" bIns="0" numCol="1" rtlCol="0" anchor="t" anchorCtr="0" compatLnSpc="1">
              <a:prstTxWarp prst="textNoShape">
                <a:avLst/>
              </a:prstTxWarp>
            </a:bodyPr>
            <a:lstStyle>
              <a:defPPr>
                <a:defRPr lang="de-DE"/>
              </a:defPPr>
              <a:lvl1pPr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1pPr>
              <a:lvl2pPr marL="4572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2pPr>
              <a:lvl3pPr marL="9144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3pPr>
              <a:lvl4pPr marL="13716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4pPr>
              <a:lvl5pPr marL="18288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5pPr>
              <a:lvl6pPr marL="22860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6pPr>
              <a:lvl7pPr marL="27432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7pPr>
              <a:lvl8pPr marL="32004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8pPr>
              <a:lvl9pPr marL="36576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9pPr>
            </a:lstStyle>
            <a:p>
              <a:pPr marL="0" marR="0" indent="0" algn="ctr" defTabSz="914400" rtl="0" eaLnBrk="1" fontAlgn="base" latinLnBrk="0" hangingPunct="1">
                <a:lnSpc>
                  <a:spcPct val="100000"/>
                </a:lnSpc>
                <a:spcBef>
                  <a:spcPct val="0"/>
                </a:spcBef>
                <a:spcAft>
                  <a:spcPct val="0"/>
                </a:spcAft>
                <a:buClrTx/>
                <a:buSzTx/>
                <a:buFont typeface="Times" pitchFamily="18" charset="0"/>
                <a:buNone/>
                <a:tabLst/>
              </a:pPr>
              <a:endParaRPr kumimoji="0" lang="de-CH" sz="3200" b="1" i="0" u="none" strike="noStrike" cap="none" normalizeH="0" baseline="0">
                <a:ln>
                  <a:noFill/>
                </a:ln>
                <a:solidFill>
                  <a:srgbClr val="000099"/>
                </a:solidFill>
                <a:effectLst/>
                <a:latin typeface="Arial" charset="0"/>
              </a:endParaRPr>
            </a:p>
          </xdr:txBody>
        </xdr:sp>
        <xdr:sp macro="" textlink="">
          <xdr:nvSpPr>
            <xdr:cNvPr id="15" name="Pfeil nach unten 14">
              <a:extLst>
                <a:ext uri="{FF2B5EF4-FFF2-40B4-BE49-F238E27FC236}">
                  <a16:creationId xmlns:a16="http://schemas.microsoft.com/office/drawing/2014/main" id="{00000000-0008-0000-0B00-00000F000000}"/>
                </a:ext>
              </a:extLst>
            </xdr:cNvPr>
            <xdr:cNvSpPr/>
          </xdr:nvSpPr>
          <xdr:spPr bwMode="auto">
            <a:xfrm>
              <a:off x="4631530" y="1003436"/>
              <a:ext cx="214315" cy="185339"/>
            </a:xfrm>
            <a:prstGeom prst="downArrow">
              <a:avLst/>
            </a:prstGeom>
            <a:noFill/>
            <a:ln w="3175" cap="flat" cmpd="sng" algn="ctr">
              <a:solidFill>
                <a:schemeClr val="accent1">
                  <a:lumMod val="75000"/>
                </a:schemeClr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="horz" wrap="square" lIns="0" tIns="0" rIns="0" bIns="0" numCol="1" rtlCol="0" anchor="t" anchorCtr="0" compatLnSpc="1">
              <a:prstTxWarp prst="textNoShape">
                <a:avLst/>
              </a:prstTxWarp>
            </a:bodyPr>
            <a:lstStyle>
              <a:defPPr>
                <a:defRPr lang="de-DE"/>
              </a:defPPr>
              <a:lvl1pPr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1pPr>
              <a:lvl2pPr marL="4572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2pPr>
              <a:lvl3pPr marL="9144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3pPr>
              <a:lvl4pPr marL="13716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4pPr>
              <a:lvl5pPr marL="18288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5pPr>
              <a:lvl6pPr marL="22860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6pPr>
              <a:lvl7pPr marL="27432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7pPr>
              <a:lvl8pPr marL="32004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8pPr>
              <a:lvl9pPr marL="36576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9pPr>
            </a:lstStyle>
            <a:p>
              <a:pPr marL="0" marR="0" indent="0" algn="ctr" defTabSz="914400" rtl="0" eaLnBrk="1" fontAlgn="base" latinLnBrk="0" hangingPunct="1">
                <a:lnSpc>
                  <a:spcPct val="100000"/>
                </a:lnSpc>
                <a:spcBef>
                  <a:spcPct val="0"/>
                </a:spcBef>
                <a:spcAft>
                  <a:spcPct val="0"/>
                </a:spcAft>
                <a:buClrTx/>
                <a:buSzTx/>
                <a:buFont typeface="Times" pitchFamily="18" charset="0"/>
                <a:buNone/>
                <a:tabLst/>
              </a:pPr>
              <a:endParaRPr kumimoji="0" lang="de-CH" sz="3200" b="1" i="0" u="none" strike="noStrike" kern="1200" cap="none" normalizeH="0" baseline="0">
                <a:ln>
                  <a:noFill/>
                </a:ln>
                <a:solidFill>
                  <a:srgbClr val="000099"/>
                </a:solidFill>
                <a:effectLst/>
                <a:latin typeface="Arial" charset="0"/>
                <a:ea typeface="+mn-ea"/>
                <a:cs typeface="+mn-cs"/>
              </a:endParaRPr>
            </a:p>
          </xdr:txBody>
        </xdr:sp>
        <xdr:sp macro="" textlink="">
          <xdr:nvSpPr>
            <xdr:cNvPr id="16" name="Pfeil nach unten 15">
              <a:extLst>
                <a:ext uri="{FF2B5EF4-FFF2-40B4-BE49-F238E27FC236}">
                  <a16:creationId xmlns:a16="http://schemas.microsoft.com/office/drawing/2014/main" id="{00000000-0008-0000-0B00-000010000000}"/>
                </a:ext>
              </a:extLst>
            </xdr:cNvPr>
            <xdr:cNvSpPr/>
          </xdr:nvSpPr>
          <xdr:spPr bwMode="auto">
            <a:xfrm>
              <a:off x="4639731" y="1429326"/>
              <a:ext cx="214315" cy="185339"/>
            </a:xfrm>
            <a:prstGeom prst="downArrow">
              <a:avLst/>
            </a:prstGeom>
            <a:noFill/>
            <a:ln w="3175" cap="flat" cmpd="sng" algn="ctr">
              <a:solidFill>
                <a:schemeClr val="accent1">
                  <a:lumMod val="75000"/>
                </a:schemeClr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="horz" wrap="square" lIns="0" tIns="0" rIns="0" bIns="0" numCol="1" rtlCol="0" anchor="t" anchorCtr="0" compatLnSpc="1">
              <a:prstTxWarp prst="textNoShape">
                <a:avLst/>
              </a:prstTxWarp>
            </a:bodyPr>
            <a:lstStyle>
              <a:defPPr>
                <a:defRPr lang="de-DE"/>
              </a:defPPr>
              <a:lvl1pPr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1pPr>
              <a:lvl2pPr marL="4572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2pPr>
              <a:lvl3pPr marL="9144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3pPr>
              <a:lvl4pPr marL="13716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4pPr>
              <a:lvl5pPr marL="18288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5pPr>
              <a:lvl6pPr marL="22860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6pPr>
              <a:lvl7pPr marL="27432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7pPr>
              <a:lvl8pPr marL="32004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8pPr>
              <a:lvl9pPr marL="36576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9pPr>
            </a:lstStyle>
            <a:p>
              <a:pPr marL="0" marR="0" indent="0" algn="ctr" defTabSz="914400" rtl="0" eaLnBrk="1" fontAlgn="base" latinLnBrk="0" hangingPunct="1">
                <a:lnSpc>
                  <a:spcPct val="100000"/>
                </a:lnSpc>
                <a:spcBef>
                  <a:spcPct val="0"/>
                </a:spcBef>
                <a:spcAft>
                  <a:spcPct val="0"/>
                </a:spcAft>
                <a:buClrTx/>
                <a:buSzTx/>
                <a:buFont typeface="Times" pitchFamily="18" charset="0"/>
                <a:buNone/>
                <a:tabLst/>
              </a:pPr>
              <a:endParaRPr kumimoji="0" lang="de-CH" sz="3200" b="1" i="0" u="none" strike="noStrike" kern="1200" cap="none" normalizeH="0" baseline="0">
                <a:ln>
                  <a:noFill/>
                </a:ln>
                <a:solidFill>
                  <a:srgbClr val="000099"/>
                </a:solidFill>
                <a:effectLst/>
                <a:latin typeface="Arial" charset="0"/>
                <a:ea typeface="+mn-ea"/>
                <a:cs typeface="+mn-cs"/>
              </a:endParaRPr>
            </a:p>
          </xdr:txBody>
        </xdr:sp>
      </xdr:grpSp>
      <xdr:sp macro="" textlink="">
        <xdr:nvSpPr>
          <xdr:cNvPr id="17" name="Ellipse 16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spect="1"/>
          </xdr:cNvSpPr>
        </xdr:nvSpPr>
        <xdr:spPr bwMode="auto">
          <a:xfrm>
            <a:off x="2544240" y="3495869"/>
            <a:ext cx="3528000" cy="3528000"/>
          </a:xfrm>
          <a:prstGeom prst="ellipse">
            <a:avLst/>
          </a:prstGeom>
          <a:solidFill>
            <a:srgbClr val="FFFFFF">
              <a:lumMod val="95000"/>
              <a:alpha val="48000"/>
            </a:srgbClr>
          </a:solidFill>
          <a:ln w="3175" cap="flat" cmpd="sng" algn="ctr">
            <a:solidFill>
              <a:srgbClr val="FFFFFF">
                <a:lumMod val="50000"/>
              </a:srgbClr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0" tIns="0" rIns="0" bIns="0" numCol="1" rtlCol="0" anchor="t" anchorCtr="0" compatLnSpc="1">
            <a:prstTxWarp prst="textNoShape">
              <a:avLst/>
            </a:prstTxWarp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 marL="0" marR="0" indent="0" algn="ctr" defTabSz="914400" rtl="0" eaLnBrk="1" fontAlgn="base" latinLnBrk="0" hangingPunct="1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 typeface="Times" pitchFamily="18" charset="0"/>
              <a:buNone/>
              <a:tabLst/>
            </a:pPr>
            <a:endParaRPr kumimoji="0" lang="de-CH" sz="1200" b="1" i="0" u="none" strike="noStrike" cap="none" normalizeH="0" baseline="0">
              <a:ln>
                <a:noFill/>
              </a:ln>
              <a:solidFill>
                <a:srgbClr val="000099"/>
              </a:solidFill>
              <a:effectLst/>
              <a:latin typeface="Arial" charset="0"/>
            </a:endParaRPr>
          </a:p>
        </xdr:txBody>
      </xdr:sp>
      <xdr:grpSp>
        <xdr:nvGrpSpPr>
          <xdr:cNvPr id="18" name="Group 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GrpSpPr/>
        </xdr:nvGrpSpPr>
        <xdr:grpSpPr>
          <a:xfrm>
            <a:off x="2834868" y="3567345"/>
            <a:ext cx="2916289" cy="3203255"/>
            <a:chOff x="2715524" y="3602216"/>
            <a:chExt cx="2916290" cy="3202065"/>
          </a:xfrm>
        </xdr:grpSpPr>
        <xdr:sp macro="" textlink="' '!A558">
          <xdr:nvSpPr>
            <xdr:cNvPr id="19" name="Textfeld 21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13000000}"/>
                </a:ext>
              </a:extLst>
            </xdr:cNvPr>
            <xdr:cNvSpPr txBox="1"/>
          </xdr:nvSpPr>
          <xdr:spPr>
            <a:xfrm>
              <a:off x="3376882" y="3602216"/>
              <a:ext cx="1529185" cy="463062"/>
            </a:xfrm>
            <a:prstGeom prst="rect">
              <a:avLst/>
            </a:prstGeom>
            <a:noFill/>
          </xdr:spPr>
          <xdr:txBody>
            <a:bodyPr wrap="square" rtlCol="0">
              <a:noAutofit/>
            </a:bodyPr>
            <a:lstStyle>
              <a:defPPr>
                <a:defRPr lang="de-DE"/>
              </a:defPPr>
              <a:lvl1pPr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1pPr>
              <a:lvl2pPr marL="4572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2pPr>
              <a:lvl3pPr marL="9144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3pPr>
              <a:lvl4pPr marL="13716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4pPr>
              <a:lvl5pPr marL="18288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5pPr>
              <a:lvl6pPr marL="22860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6pPr>
              <a:lvl7pPr marL="27432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7pPr>
              <a:lvl8pPr marL="32004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8pPr>
              <a:lvl9pPr marL="36576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9pPr>
            </a:lstStyle>
            <a:p>
              <a:pPr marL="0" indent="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</a:pPr>
              <a:fld id="{36A0B46E-7028-4BF8-B9CE-A13A74387332}" type="TxLink">
                <a:rPr lang="en-US" sz="1200" b="1" kern="1200">
                  <a:solidFill>
                    <a:srgbClr val="000000"/>
                  </a:solidFill>
                  <a:latin typeface="Arial" pitchFamily="34" charset="0"/>
                  <a:ea typeface="+mn-ea"/>
                  <a:cs typeface="+mn-cs"/>
                </a:rPr>
                <a:pPr marL="0" indent="0" algn="ctr" rtl="0" fontAlgn="base">
                  <a:spcBef>
                    <a:spcPct val="0"/>
                  </a:spcBef>
                  <a:spcAft>
                    <a:spcPct val="0"/>
                  </a:spcAft>
                  <a:buFont typeface="Times" pitchFamily="18" charset="0"/>
                </a:pPr>
                <a:t>Leadership Kompetenzen</a:t>
              </a:fld>
              <a:endParaRPr lang="de-CH" sz="1200" b="1" kern="1200">
                <a:solidFill>
                  <a:srgbClr val="000000"/>
                </a:solidFill>
                <a:latin typeface="Arial" pitchFamily="34" charset="0"/>
                <a:ea typeface="+mn-ea"/>
                <a:cs typeface="+mn-cs"/>
              </a:endParaRPr>
            </a:p>
          </xdr:txBody>
        </xdr:sp>
        <xdr:sp macro="" textlink="' '!A563">
          <xdr:nvSpPr>
            <xdr:cNvPr id="20" name="Textfeld 22">
              <a:extLst>
                <a:ext uri="{FF2B5EF4-FFF2-40B4-BE49-F238E27FC236}">
                  <a16:creationId xmlns:a16="http://schemas.microsoft.com/office/drawing/2014/main" id="{00000000-0008-0000-0B00-000014000000}"/>
                </a:ext>
              </a:extLst>
            </xdr:cNvPr>
            <xdr:cNvSpPr txBox="1"/>
          </xdr:nvSpPr>
          <xdr:spPr>
            <a:xfrm rot="17862722">
              <a:off x="4569786" y="5696157"/>
              <a:ext cx="1677652" cy="446404"/>
            </a:xfrm>
            <a:prstGeom prst="rect">
              <a:avLst/>
            </a:prstGeom>
            <a:noFill/>
          </xdr:spPr>
          <xdr:txBody>
            <a:bodyPr wrap="square" rtlCol="0">
              <a:noAutofit/>
            </a:bodyPr>
            <a:lstStyle>
              <a:defPPr>
                <a:defRPr lang="de-DE"/>
              </a:defPPr>
              <a:lvl1pPr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1pPr>
              <a:lvl2pPr marL="4572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2pPr>
              <a:lvl3pPr marL="9144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3pPr>
              <a:lvl4pPr marL="13716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4pPr>
              <a:lvl5pPr marL="18288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5pPr>
              <a:lvl6pPr marL="22860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6pPr>
              <a:lvl7pPr marL="27432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7pPr>
              <a:lvl8pPr marL="32004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8pPr>
              <a:lvl9pPr marL="36576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9pPr>
            </a:lstStyle>
            <a:p>
              <a:pPr marL="0" indent="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</a:pPr>
              <a:fld id="{252BC33F-7FBD-4419-8A4D-3F7CB6B66FC7}" type="TxLink">
                <a:rPr lang="en-US" sz="1200" b="1" kern="1200">
                  <a:solidFill>
                    <a:srgbClr val="000000"/>
                  </a:solidFill>
                  <a:latin typeface="Arial" pitchFamily="34" charset="0"/>
                  <a:ea typeface="+mn-ea"/>
                  <a:cs typeface="+mn-cs"/>
                </a:rPr>
                <a:pPr marL="0" indent="0" algn="ctr" rtl="0" fontAlgn="base">
                  <a:spcBef>
                    <a:spcPct val="0"/>
                  </a:spcBef>
                  <a:spcAft>
                    <a:spcPct val="0"/>
                  </a:spcAft>
                  <a:buFont typeface="Times" pitchFamily="18" charset="0"/>
                </a:pPr>
                <a:t>Entrepreuneurship Kompetenzen</a:t>
              </a:fld>
              <a:endParaRPr lang="de-CH" sz="1200" b="1" kern="1200">
                <a:solidFill>
                  <a:srgbClr val="000000"/>
                </a:solidFill>
                <a:latin typeface="Arial" pitchFamily="34" charset="0"/>
                <a:ea typeface="+mn-ea"/>
                <a:cs typeface="+mn-cs"/>
              </a:endParaRPr>
            </a:p>
          </xdr:txBody>
        </xdr:sp>
        <xdr:sp macro="" textlink="' '!A562">
          <xdr:nvSpPr>
            <xdr:cNvPr id="21" name="Textfeld 126">
              <a:extLst>
                <a:ext uri="{FF2B5EF4-FFF2-40B4-BE49-F238E27FC236}">
                  <a16:creationId xmlns:a16="http://schemas.microsoft.com/office/drawing/2014/main" id="{00000000-0008-0000-0B00-000015000000}"/>
                </a:ext>
              </a:extLst>
            </xdr:cNvPr>
            <xdr:cNvSpPr txBox="1"/>
          </xdr:nvSpPr>
          <xdr:spPr>
            <a:xfrm rot="3765922">
              <a:off x="2117594" y="5744686"/>
              <a:ext cx="1657525" cy="461666"/>
            </a:xfrm>
            <a:prstGeom prst="rect">
              <a:avLst/>
            </a:prstGeom>
            <a:noFill/>
          </xdr:spPr>
          <xdr:txBody>
            <a:bodyPr wrap="square" rtlCol="0">
              <a:noAutofit/>
            </a:bodyPr>
            <a:lstStyle>
              <a:defPPr>
                <a:defRPr lang="de-DE"/>
              </a:defPPr>
              <a:lvl1pPr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1pPr>
              <a:lvl2pPr marL="4572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2pPr>
              <a:lvl3pPr marL="9144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3pPr>
              <a:lvl4pPr marL="13716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4pPr>
              <a:lvl5pPr marL="18288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5pPr>
              <a:lvl6pPr marL="22860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6pPr>
              <a:lvl7pPr marL="27432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7pPr>
              <a:lvl8pPr marL="32004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8pPr>
              <a:lvl9pPr marL="36576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9pPr>
            </a:lstStyle>
            <a:p>
              <a:pPr marL="0" indent="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</a:pPr>
              <a:fld id="{1E5B7608-651B-4DFA-9F9C-B007AE65CBD3}" type="TxLink">
                <a:rPr lang="en-US" sz="1200" b="1" kern="1200">
                  <a:solidFill>
                    <a:srgbClr val="000000"/>
                  </a:solidFill>
                  <a:latin typeface="Arial" pitchFamily="34" charset="0"/>
                  <a:ea typeface="+mn-ea"/>
                  <a:cs typeface="+mn-cs"/>
                </a:rPr>
                <a:pPr marL="0" indent="0" algn="ctr" rtl="0" fontAlgn="base">
                  <a:spcBef>
                    <a:spcPct val="0"/>
                  </a:spcBef>
                  <a:spcAft>
                    <a:spcPct val="0"/>
                  </a:spcAft>
                  <a:buFont typeface="Times" pitchFamily="18" charset="0"/>
                </a:pPr>
                <a:t>Management Kompetenzen</a:t>
              </a:fld>
              <a:endParaRPr lang="de-CH" sz="1200" b="1" kern="1200">
                <a:solidFill>
                  <a:srgbClr val="000000"/>
                </a:solidFill>
                <a:latin typeface="Arial" pitchFamily="34" charset="0"/>
                <a:ea typeface="+mn-ea"/>
                <a:cs typeface="+mn-cs"/>
              </a:endParaRPr>
            </a:p>
          </xdr:txBody>
        </xdr:sp>
      </xdr:grpSp>
      <xdr:sp macro="" textlink="' '!A551">
        <xdr:nvSpPr>
          <xdr:cNvPr id="22" name="Abgerundetes Rechteck 21">
            <a:extLst>
              <a:ext uri="{FF2B5EF4-FFF2-40B4-BE49-F238E27FC236}">
                <a16:creationId xmlns:a16="http://schemas.microsoft.com/office/drawing/2014/main" id="{00000000-0008-0000-0B00-000016000000}"/>
              </a:ext>
            </a:extLst>
          </xdr:cNvPr>
          <xdr:cNvSpPr/>
        </xdr:nvSpPr>
        <xdr:spPr>
          <a:xfrm>
            <a:off x="3759791" y="1625832"/>
            <a:ext cx="1080000" cy="210263"/>
          </a:xfrm>
          <a:prstGeom prst="roundRect">
            <a:avLst/>
          </a:prstGeom>
          <a:solidFill>
            <a:schemeClr val="accent1">
              <a:lumMod val="20000"/>
              <a:lumOff val="80000"/>
            </a:schemeClr>
          </a:solidFill>
          <a:ln w="3175">
            <a:noFill/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5B6B4783-B2A7-4684-BF0A-11C7A7CFCFA4}" type="TxLink">
              <a:rPr lang="en-US" sz="1100" b="0" i="0" u="none" strike="noStrike">
                <a:solidFill>
                  <a:srgbClr val="000000"/>
                </a:solidFill>
                <a:effectLst/>
                <a:latin typeface="Calibri"/>
                <a:ea typeface="+mn-ea"/>
                <a:cs typeface="+mn-cs"/>
              </a:rPr>
              <a:pPr marL="0" indent="0" algn="ctr"/>
              <a:t>Vision/Mission</a:t>
            </a:fld>
            <a:endParaRPr lang="de-CH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' '!A553">
        <xdr:nvSpPr>
          <xdr:cNvPr id="23" name="Abgerundetes Rechteck 22">
            <a:extLst>
              <a:ext uri="{FF2B5EF4-FFF2-40B4-BE49-F238E27FC236}">
                <a16:creationId xmlns:a16="http://schemas.microsoft.com/office/drawing/2014/main" id="{00000000-0008-0000-0B00-000017000000}"/>
              </a:ext>
            </a:extLst>
          </xdr:cNvPr>
          <xdr:cNvSpPr/>
        </xdr:nvSpPr>
        <xdr:spPr>
          <a:xfrm>
            <a:off x="3759791" y="2115719"/>
            <a:ext cx="1080000" cy="216734"/>
          </a:xfrm>
          <a:prstGeom prst="roundRect">
            <a:avLst/>
          </a:prstGeom>
          <a:solidFill>
            <a:schemeClr val="accent1">
              <a:lumMod val="20000"/>
              <a:lumOff val="80000"/>
            </a:schemeClr>
          </a:solidFill>
          <a:ln w="3175">
            <a:noFill/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A5516ECF-97EE-46E7-9686-514E1A965589}" type="TxLink">
              <a:rPr lang="en-US" sz="1100" b="0" i="0" u="none" strike="noStrike">
                <a:solidFill>
                  <a:srgbClr val="000000"/>
                </a:solidFill>
                <a:effectLst/>
                <a:latin typeface="Calibri"/>
                <a:ea typeface="+mn-ea"/>
                <a:cs typeface="+mn-cs"/>
              </a:rPr>
              <a:pPr marL="0" indent="0" algn="ctr"/>
              <a:t>Strategien</a:t>
            </a:fld>
            <a:endParaRPr lang="de-CH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' '!A554">
        <xdr:nvSpPr>
          <xdr:cNvPr id="24" name="Abgerundetes Rechteck 23">
            <a:extLst>
              <a:ext uri="{FF2B5EF4-FFF2-40B4-BE49-F238E27FC236}">
                <a16:creationId xmlns:a16="http://schemas.microsoft.com/office/drawing/2014/main" id="{00000000-0008-0000-0B00-000018000000}"/>
              </a:ext>
            </a:extLst>
          </xdr:cNvPr>
          <xdr:cNvSpPr/>
        </xdr:nvSpPr>
        <xdr:spPr>
          <a:xfrm>
            <a:off x="3456829" y="2612077"/>
            <a:ext cx="1685925" cy="213449"/>
          </a:xfrm>
          <a:prstGeom prst="roundRect">
            <a:avLst/>
          </a:prstGeom>
          <a:solidFill>
            <a:schemeClr val="accent1">
              <a:lumMod val="20000"/>
              <a:lumOff val="80000"/>
            </a:schemeClr>
          </a:solidFill>
          <a:ln w="3175">
            <a:noFill/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AE5F34B3-21F1-44F5-84EC-1015B80552D3}" type="TxLink">
              <a:rPr lang="en-US" sz="1100" b="0" i="0" u="none" strike="noStrike">
                <a:solidFill>
                  <a:srgbClr val="000000"/>
                </a:solidFill>
                <a:effectLst/>
                <a:latin typeface="Calibri"/>
                <a:ea typeface="+mn-ea"/>
                <a:cs typeface="+mn-cs"/>
              </a:rPr>
              <a:pPr marL="0" indent="0" algn="ctr"/>
              <a:t>Massnahmen - Projekte</a:t>
            </a:fld>
            <a:endParaRPr lang="de-CH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' '!A572">
        <xdr:nvSpPr>
          <xdr:cNvPr id="25" name="Abgerundetes Rechteck 24">
            <a:extLst>
              <a:ext uri="{FF2B5EF4-FFF2-40B4-BE49-F238E27FC236}">
                <a16:creationId xmlns:a16="http://schemas.microsoft.com/office/drawing/2014/main" id="{00000000-0008-0000-0B00-000019000000}"/>
              </a:ext>
            </a:extLst>
          </xdr:cNvPr>
          <xdr:cNvSpPr/>
        </xdr:nvSpPr>
        <xdr:spPr>
          <a:xfrm>
            <a:off x="6193287" y="5741227"/>
            <a:ext cx="1479811" cy="200310"/>
          </a:xfrm>
          <a:prstGeom prst="roundRect">
            <a:avLst/>
          </a:prstGeom>
          <a:noFill/>
          <a:ln w="3175">
            <a:noFill/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2DE1EECB-2A2A-4410-8D5B-E8F6140B6D86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+mn-cs"/>
              </a:rPr>
              <a:pPr marL="0" indent="0" algn="ctr"/>
              <a:t>Innovationsmgmt.</a:t>
            </a:fld>
            <a:endParaRPr lang="de-CH" sz="1100" b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' '!A575">
        <xdr:nvSpPr>
          <xdr:cNvPr id="26" name="Abgerundetes Rechteck 25">
            <a:extLst>
              <a:ext uri="{FF2B5EF4-FFF2-40B4-BE49-F238E27FC236}">
                <a16:creationId xmlns:a16="http://schemas.microsoft.com/office/drawing/2014/main" id="{00000000-0008-0000-0B00-00001A000000}"/>
              </a:ext>
            </a:extLst>
          </xdr:cNvPr>
          <xdr:cNvSpPr/>
        </xdr:nvSpPr>
        <xdr:spPr>
          <a:xfrm>
            <a:off x="6066065" y="6163239"/>
            <a:ext cx="1619146" cy="197287"/>
          </a:xfrm>
          <a:prstGeom prst="roundRect">
            <a:avLst/>
          </a:prstGeom>
          <a:noFill/>
          <a:ln w="3175">
            <a:noFill/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31E82CE9-FC94-42E1-88AE-3B075AB0F092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+mn-cs"/>
              </a:rPr>
              <a:pPr marL="0" indent="0" algn="ctr"/>
              <a:t>Changemgmt.</a:t>
            </a:fld>
            <a:endParaRPr lang="de-CH" sz="1100" b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' '!A576">
        <xdr:nvSpPr>
          <xdr:cNvPr id="27" name="Abgerundetes Rechteck 26">
            <a:extLst>
              <a:ext uri="{FF2B5EF4-FFF2-40B4-BE49-F238E27FC236}">
                <a16:creationId xmlns:a16="http://schemas.microsoft.com/office/drawing/2014/main" id="{00000000-0008-0000-0B00-00001B000000}"/>
              </a:ext>
            </a:extLst>
          </xdr:cNvPr>
          <xdr:cNvSpPr/>
        </xdr:nvSpPr>
        <xdr:spPr>
          <a:xfrm>
            <a:off x="6191250" y="6586635"/>
            <a:ext cx="1309458" cy="192747"/>
          </a:xfrm>
          <a:prstGeom prst="roundRect">
            <a:avLst/>
          </a:prstGeom>
          <a:solidFill>
            <a:schemeClr val="accent1">
              <a:lumMod val="60000"/>
              <a:lumOff val="40000"/>
            </a:schemeClr>
          </a:solidFill>
          <a:ln w="3175">
            <a:noFill/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264487D0-5AA9-4A7A-B581-BF3004729379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+mn-cs"/>
              </a:rPr>
              <a:pPr marL="0" indent="0" algn="ctr"/>
              <a:t>Riskmanagement</a:t>
            </a:fld>
            <a:endParaRPr lang="de-CH" sz="1100" b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' '!A566">
        <xdr:nvSpPr>
          <xdr:cNvPr id="28" name="Abgerundetes Rechteck 27">
            <a:extLst>
              <a:ext uri="{FF2B5EF4-FFF2-40B4-BE49-F238E27FC236}">
                <a16:creationId xmlns:a16="http://schemas.microsoft.com/office/drawing/2014/main" id="{00000000-0008-0000-0B00-00001C000000}"/>
              </a:ext>
            </a:extLst>
          </xdr:cNvPr>
          <xdr:cNvSpPr/>
        </xdr:nvSpPr>
        <xdr:spPr>
          <a:xfrm>
            <a:off x="1149390" y="5655379"/>
            <a:ext cx="1308059" cy="221546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 w="3175">
            <a:noFill/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BD00B481-171B-42D0-BCAC-533DD2A1F6EB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+mn-cs"/>
              </a:rPr>
              <a:pPr marL="0" indent="0" algn="ctr"/>
              <a:t>Projektmgmt.</a:t>
            </a:fld>
            <a:endParaRPr lang="de-CH" sz="1100" b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' '!A567">
        <xdr:nvSpPr>
          <xdr:cNvPr id="29" name="Abgerundetes Rechteck 28">
            <a:extLst>
              <a:ext uri="{FF2B5EF4-FFF2-40B4-BE49-F238E27FC236}">
                <a16:creationId xmlns:a16="http://schemas.microsoft.com/office/drawing/2014/main" id="{00000000-0008-0000-0B00-00001D000000}"/>
              </a:ext>
            </a:extLst>
          </xdr:cNvPr>
          <xdr:cNvSpPr/>
        </xdr:nvSpPr>
        <xdr:spPr>
          <a:xfrm>
            <a:off x="1030948" y="5992927"/>
            <a:ext cx="1474127" cy="226898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 w="3175">
            <a:noFill/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5AA78F95-05D4-4462-9B3D-A5479BCD2D74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+mn-cs"/>
              </a:rPr>
              <a:pPr marL="0" indent="0" algn="ctr"/>
              <a:t>Prozessmgmt.</a:t>
            </a:fld>
            <a:endParaRPr lang="de-CH" sz="1100" b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' '!A568">
        <xdr:nvSpPr>
          <xdr:cNvPr id="30" name="Abgerundetes Rechteck 29">
            <a:extLst>
              <a:ext uri="{FF2B5EF4-FFF2-40B4-BE49-F238E27FC236}">
                <a16:creationId xmlns:a16="http://schemas.microsoft.com/office/drawing/2014/main" id="{00000000-0008-0000-0B00-00001E000000}"/>
              </a:ext>
            </a:extLst>
          </xdr:cNvPr>
          <xdr:cNvSpPr/>
        </xdr:nvSpPr>
        <xdr:spPr>
          <a:xfrm>
            <a:off x="978912" y="6330475"/>
            <a:ext cx="1582752" cy="221546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 w="3175">
            <a:noFill/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06CF4F0D-4CF6-4622-869D-EEDA3050B7CB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+mn-cs"/>
              </a:rPr>
              <a:pPr marL="0" indent="0" algn="ctr"/>
              <a:t>Qualitätsmgmt.</a:t>
            </a:fld>
            <a:endParaRPr lang="de-CH" sz="1100" b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' '!A569">
        <xdr:nvSpPr>
          <xdr:cNvPr id="31" name="Abgerundetes Rechteck 3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SpPr/>
        </xdr:nvSpPr>
        <xdr:spPr>
          <a:xfrm>
            <a:off x="1145248" y="6668022"/>
            <a:ext cx="1474127" cy="228077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 w="3175">
            <a:noFill/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76AA9A18-498A-4202-A34B-94622D2F5803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+mn-cs"/>
              </a:rPr>
              <a:pPr marL="0" indent="0" algn="ctr"/>
              <a:t>Finanzmgmt.</a:t>
            </a:fld>
            <a:endParaRPr lang="de-CH" sz="1100" b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' '!A570">
        <xdr:nvSpPr>
          <xdr:cNvPr id="32" name="Abgerundetes Rechteck 31">
            <a:extLst>
              <a:ext uri="{FF2B5EF4-FFF2-40B4-BE49-F238E27FC236}">
                <a16:creationId xmlns:a16="http://schemas.microsoft.com/office/drawing/2014/main" id="{00000000-0008-0000-0B00-000020000000}"/>
              </a:ext>
            </a:extLst>
          </xdr:cNvPr>
          <xdr:cNvSpPr/>
        </xdr:nvSpPr>
        <xdr:spPr>
          <a:xfrm>
            <a:off x="6010867" y="7010031"/>
            <a:ext cx="1080000" cy="210263"/>
          </a:xfrm>
          <a:prstGeom prst="roundRect">
            <a:avLst/>
          </a:prstGeom>
          <a:solidFill>
            <a:schemeClr val="accent1">
              <a:lumMod val="60000"/>
              <a:lumOff val="40000"/>
            </a:schemeClr>
          </a:solidFill>
          <a:ln w="3175">
            <a:noFill/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E1333F09-28CB-4600-B884-2B0D997CD0F7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+mn-cs"/>
              </a:rPr>
              <a:pPr marL="0" indent="0" algn="ctr"/>
              <a:t>Marketing</a:t>
            </a:fld>
            <a:endParaRPr lang="de-CH" sz="1100" b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' '!A552">
        <xdr:nvSpPr>
          <xdr:cNvPr id="33" name="Abgerundetes Rechteck 32">
            <a:extLst>
              <a:ext uri="{FF2B5EF4-FFF2-40B4-BE49-F238E27FC236}">
                <a16:creationId xmlns:a16="http://schemas.microsoft.com/office/drawing/2014/main" id="{00000000-0008-0000-0B00-000021000000}"/>
              </a:ext>
            </a:extLst>
          </xdr:cNvPr>
          <xdr:cNvSpPr/>
        </xdr:nvSpPr>
        <xdr:spPr>
          <a:xfrm>
            <a:off x="2953248" y="3105150"/>
            <a:ext cx="780317" cy="333597"/>
          </a:xfrm>
          <a:prstGeom prst="roundRect">
            <a:avLst/>
          </a:prstGeom>
          <a:noFill/>
          <a:ln w="3175">
            <a:noFill/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lIns="0" tIns="36000" rIns="0" bIns="36000" rtlCol="0" anchor="ctr"/>
          <a:lstStyle/>
          <a:p>
            <a:pPr marL="0" indent="0" algn="ctr"/>
            <a:fld id="{87F428DE-7ADD-4586-B6DF-2115C61B86A1}" type="TxLink">
              <a:rPr lang="en-US" sz="1100" b="0" i="0" u="none" strike="noStrike">
                <a:solidFill>
                  <a:srgbClr val="000000"/>
                </a:solidFill>
                <a:effectLst/>
                <a:latin typeface="Calibri"/>
                <a:ea typeface="+mn-ea"/>
                <a:cs typeface="+mn-cs"/>
              </a:rPr>
              <a:pPr marL="0" indent="0" algn="ctr"/>
              <a:t>Pers.-entwickl.</a:t>
            </a:fld>
            <a:endParaRPr lang="de-CH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' '!A546">
        <xdr:nvSpPr>
          <xdr:cNvPr id="34" name="Textfeld 33">
            <a:extLst>
              <a:ext uri="{FF2B5EF4-FFF2-40B4-BE49-F238E27FC236}">
                <a16:creationId xmlns:a16="http://schemas.microsoft.com/office/drawing/2014/main" id="{00000000-0008-0000-0B00-000022000000}"/>
              </a:ext>
            </a:extLst>
          </xdr:cNvPr>
          <xdr:cNvSpPr txBox="1"/>
        </xdr:nvSpPr>
        <xdr:spPr>
          <a:xfrm>
            <a:off x="299356" y="910320"/>
            <a:ext cx="3504907" cy="28030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overflow" horzOverflow="overflow" wrap="none" rtlCol="0" anchor="t">
            <a:noAutofit/>
          </a:bodyPr>
          <a:lstStyle/>
          <a:p>
            <a:pPr marL="0" indent="0" algn="l"/>
            <a:fld id="{C3939966-2809-4BCC-9651-0884C6F0F643}" type="TxLink">
              <a:rPr lang="en-US" sz="1200">
                <a:solidFill>
                  <a:schemeClr val="tx1"/>
                </a:solidFill>
                <a:latin typeface="+mn-lt"/>
                <a:ea typeface="+mn-ea"/>
                <a:cs typeface="+mn-cs"/>
              </a:rPr>
              <a:pPr marL="0" indent="0" algn="l"/>
              <a:t>Ansprüche - Werte - Ressourcen</a:t>
            </a:fld>
            <a:endParaRPr lang="de-CH" sz="1200">
              <a:solidFill>
                <a:schemeClr val="tx1"/>
              </a:solidFill>
              <a:latin typeface="+mn-lt"/>
              <a:ea typeface="+mn-ea"/>
              <a:cs typeface="+mn-cs"/>
            </a:endParaRPr>
          </a:p>
        </xdr:txBody>
      </xdr:sp>
      <xdr:sp macro="" textlink="' '!A549">
        <xdr:nvSpPr>
          <xdr:cNvPr id="35" name="Textfeld 34">
            <a:extLst>
              <a:ext uri="{FF2B5EF4-FFF2-40B4-BE49-F238E27FC236}">
                <a16:creationId xmlns:a16="http://schemas.microsoft.com/office/drawing/2014/main" id="{00000000-0008-0000-0B00-000023000000}"/>
              </a:ext>
            </a:extLst>
          </xdr:cNvPr>
          <xdr:cNvSpPr txBox="1"/>
        </xdr:nvSpPr>
        <xdr:spPr>
          <a:xfrm>
            <a:off x="308881" y="8177790"/>
            <a:ext cx="3737411" cy="2802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l"/>
            <a:fld id="{917537FD-706B-406E-BD6B-7D2B9CF68352}" type="TxLink">
              <a:rPr lang="en-US" sz="1200" b="0" i="0" u="none" strike="noStrike">
                <a:solidFill>
                  <a:srgbClr val="000000"/>
                </a:solidFill>
                <a:latin typeface="Calibri"/>
              </a:rPr>
              <a:pPr algn="l"/>
              <a:t>Politik - Gesetze - Natur/Umwelt</a:t>
            </a:fld>
            <a:endParaRPr lang="de-CH" sz="1200"/>
          </a:p>
        </xdr:txBody>
      </xdr:sp>
      <xdr:sp macro="" textlink="' '!A547">
        <xdr:nvSpPr>
          <xdr:cNvPr id="36" name="Textfeld 35">
            <a:extLst>
              <a:ext uri="{FF2B5EF4-FFF2-40B4-BE49-F238E27FC236}">
                <a16:creationId xmlns:a16="http://schemas.microsoft.com/office/drawing/2014/main" id="{00000000-0008-0000-0B00-000024000000}"/>
              </a:ext>
            </a:extLst>
          </xdr:cNvPr>
          <xdr:cNvSpPr txBox="1"/>
        </xdr:nvSpPr>
        <xdr:spPr>
          <a:xfrm>
            <a:off x="4849389" y="910322"/>
            <a:ext cx="3246861" cy="297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overflow" horzOverflow="overflow" wrap="none" rtlCol="0" anchor="t">
            <a:noAutofit/>
          </a:bodyPr>
          <a:lstStyle/>
          <a:p>
            <a:pPr algn="r"/>
            <a:fld id="{E6306888-72F4-42F2-A561-203375D82307}" type="TxLink">
              <a:rPr lang="en-US" sz="1200" b="0" i="0" u="none" strike="noStrike">
                <a:solidFill>
                  <a:srgbClr val="000000"/>
                </a:solidFill>
                <a:latin typeface="Calibri"/>
              </a:rPr>
              <a:pPr algn="r"/>
              <a:t>Gesellschaft- Wirtschaft- Technologie</a:t>
            </a:fld>
            <a:endParaRPr lang="de-CH" sz="1200"/>
          </a:p>
        </xdr:txBody>
      </xdr:sp>
      <xdr:sp macro="" textlink="' '!A548">
        <xdr:nvSpPr>
          <xdr:cNvPr id="37" name="Textfeld 36">
            <a:extLst>
              <a:ext uri="{FF2B5EF4-FFF2-40B4-BE49-F238E27FC236}">
                <a16:creationId xmlns:a16="http://schemas.microsoft.com/office/drawing/2014/main" id="{00000000-0008-0000-0B00-000025000000}"/>
              </a:ext>
            </a:extLst>
          </xdr:cNvPr>
          <xdr:cNvSpPr txBox="1"/>
        </xdr:nvSpPr>
        <xdr:spPr>
          <a:xfrm>
            <a:off x="4497346" y="8177790"/>
            <a:ext cx="3598905" cy="2802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r"/>
            <a:fld id="{8209A5D6-12B5-4CE5-898F-38D5ADB79E26}" type="TxLink">
              <a:rPr lang="en-US" sz="1200" b="0" i="0" u="none" strike="noStrike">
                <a:solidFill>
                  <a:srgbClr val="000000"/>
                </a:solidFill>
                <a:latin typeface="Calibri"/>
              </a:rPr>
              <a:pPr algn="r"/>
              <a:t>Markt - Stakeholder - Konkurrenz</a:t>
            </a:fld>
            <a:endParaRPr lang="de-CH" sz="1200"/>
          </a:p>
        </xdr:txBody>
      </xdr:sp>
      <xdr:sp macro="" textlink="' '!A555">
        <xdr:nvSpPr>
          <xdr:cNvPr id="38" name="Abgerundetes Rechteck 37">
            <a:extLst>
              <a:ext uri="{FF2B5EF4-FFF2-40B4-BE49-F238E27FC236}">
                <a16:creationId xmlns:a16="http://schemas.microsoft.com/office/drawing/2014/main" id="{00000000-0008-0000-0B00-000026000000}"/>
              </a:ext>
            </a:extLst>
          </xdr:cNvPr>
          <xdr:cNvSpPr/>
        </xdr:nvSpPr>
        <xdr:spPr>
          <a:xfrm>
            <a:off x="3884077" y="3105150"/>
            <a:ext cx="846083" cy="333596"/>
          </a:xfrm>
          <a:prstGeom prst="roundRect">
            <a:avLst/>
          </a:prstGeom>
          <a:solidFill>
            <a:schemeClr val="accent1">
              <a:lumMod val="20000"/>
              <a:lumOff val="80000"/>
            </a:schemeClr>
          </a:solidFill>
          <a:ln w="3175">
            <a:noFill/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912C716D-4E0B-4241-B17B-D7B3BD6CDDC7}" type="TxLink">
              <a:rPr lang="en-US" sz="1100" b="0" i="0" u="none" strike="noStrike">
                <a:solidFill>
                  <a:srgbClr val="000000"/>
                </a:solidFill>
                <a:effectLst/>
                <a:latin typeface="Calibri"/>
                <a:ea typeface="+mn-ea"/>
                <a:cs typeface="+mn-cs"/>
              </a:rPr>
              <a:pPr marL="0" indent="0" algn="ctr"/>
              <a:t>Motivation</a:t>
            </a:fld>
            <a:endParaRPr lang="de-CH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' '!A556">
        <xdr:nvSpPr>
          <xdr:cNvPr id="39" name="Abgerundetes Rechteck 38">
            <a:extLst>
              <a:ext uri="{FF2B5EF4-FFF2-40B4-BE49-F238E27FC236}">
                <a16:creationId xmlns:a16="http://schemas.microsoft.com/office/drawing/2014/main" id="{00000000-0008-0000-0B00-000027000000}"/>
              </a:ext>
            </a:extLst>
          </xdr:cNvPr>
          <xdr:cNvSpPr/>
        </xdr:nvSpPr>
        <xdr:spPr>
          <a:xfrm>
            <a:off x="4835214" y="3105150"/>
            <a:ext cx="846083" cy="333596"/>
          </a:xfrm>
          <a:prstGeom prst="roundRect">
            <a:avLst/>
          </a:prstGeom>
          <a:noFill/>
          <a:ln w="3175">
            <a:noFill/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lIns="0" tIns="36000" rIns="0" bIns="36000" rtlCol="0" anchor="ctr"/>
          <a:lstStyle/>
          <a:p>
            <a:pPr marL="0" indent="0" algn="ctr"/>
            <a:fld id="{E305722E-90E9-4D19-A408-A4F86498B91F}" type="TxLink">
              <a:rPr lang="en-US" sz="1100" b="0" i="0" u="none" strike="noStrike">
                <a:solidFill>
                  <a:srgbClr val="000000"/>
                </a:solidFill>
                <a:effectLst/>
                <a:latin typeface="Calibri"/>
                <a:ea typeface="+mn-ea"/>
                <a:cs typeface="+mn-cs"/>
              </a:rPr>
              <a:pPr marL="0" indent="0" algn="ctr"/>
              <a:t>Personal-führung</a:t>
            </a:fld>
            <a:endParaRPr lang="de-CH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' '!A577">
        <xdr:nvSpPr>
          <xdr:cNvPr id="40" name="Abgerundetes Rechteck 39">
            <a:extLst>
              <a:ext uri="{FF2B5EF4-FFF2-40B4-BE49-F238E27FC236}">
                <a16:creationId xmlns:a16="http://schemas.microsoft.com/office/drawing/2014/main" id="{00000000-0008-0000-0B00-000028000000}"/>
              </a:ext>
            </a:extLst>
          </xdr:cNvPr>
          <xdr:cNvSpPr/>
        </xdr:nvSpPr>
        <xdr:spPr>
          <a:xfrm>
            <a:off x="1575522" y="7005573"/>
            <a:ext cx="1308059" cy="221546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 w="3175">
            <a:noFill/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fld id="{C99A3F13-E3AE-4D06-B7A8-CC1D88E33A48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+mn-ea"/>
                <a:cs typeface="+mn-cs"/>
              </a:rPr>
              <a:pPr marL="0" indent="0" algn="ctr"/>
              <a:t>HRM</a:t>
            </a:fld>
            <a:endParaRPr lang="de-CH" sz="1100" b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41" name="Freihandform 40">
            <a:extLst>
              <a:ext uri="{FF2B5EF4-FFF2-40B4-BE49-F238E27FC236}">
                <a16:creationId xmlns:a16="http://schemas.microsoft.com/office/drawing/2014/main" id="{00000000-0008-0000-0B00-000029000000}"/>
              </a:ext>
            </a:extLst>
          </xdr:cNvPr>
          <xdr:cNvSpPr/>
        </xdr:nvSpPr>
        <xdr:spPr>
          <a:xfrm>
            <a:off x="4814568" y="7235099"/>
            <a:ext cx="1050838" cy="1050838"/>
          </a:xfrm>
          <a:custGeom>
            <a:avLst/>
            <a:gdLst>
              <a:gd name="connsiteX0" fmla="*/ 0 w 1050838"/>
              <a:gd name="connsiteY0" fmla="*/ 0 h 1050838"/>
              <a:gd name="connsiteX1" fmla="*/ 1050838 w 1050838"/>
              <a:gd name="connsiteY1" fmla="*/ 0 h 1050838"/>
              <a:gd name="connsiteX2" fmla="*/ 1050838 w 1050838"/>
              <a:gd name="connsiteY2" fmla="*/ 1050838 h 1050838"/>
              <a:gd name="connsiteX3" fmla="*/ 0 w 1050838"/>
              <a:gd name="connsiteY3" fmla="*/ 1050838 h 1050838"/>
              <a:gd name="connsiteX4" fmla="*/ 0 w 1050838"/>
              <a:gd name="connsiteY4" fmla="*/ 0 h 105083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50838" h="1050838">
                <a:moveTo>
                  <a:pt x="0" y="0"/>
                </a:moveTo>
                <a:lnTo>
                  <a:pt x="1050838" y="0"/>
                </a:lnTo>
                <a:lnTo>
                  <a:pt x="1050838" y="1050838"/>
                </a:lnTo>
                <a:lnTo>
                  <a:pt x="0" y="105083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/>
          <a:p>
            <a:pPr lvl="0" algn="ctr" defTabSz="14668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de-CH" sz="3300" kern="1200"/>
          </a:p>
        </xdr:txBody>
      </xdr:sp>
      <xdr:sp macro="" textlink="">
        <xdr:nvSpPr>
          <xdr:cNvPr id="42" name="Freihandform 41">
            <a:extLst>
              <a:ext uri="{FF2B5EF4-FFF2-40B4-BE49-F238E27FC236}">
                <a16:creationId xmlns:a16="http://schemas.microsoft.com/office/drawing/2014/main" id="{00000000-0008-0000-0B00-00002A000000}"/>
              </a:ext>
            </a:extLst>
          </xdr:cNvPr>
          <xdr:cNvSpPr/>
        </xdr:nvSpPr>
        <xdr:spPr>
          <a:xfrm>
            <a:off x="2745193" y="7235099"/>
            <a:ext cx="1050838" cy="1050838"/>
          </a:xfrm>
          <a:custGeom>
            <a:avLst/>
            <a:gdLst>
              <a:gd name="connsiteX0" fmla="*/ 0 w 1050838"/>
              <a:gd name="connsiteY0" fmla="*/ 0 h 1050838"/>
              <a:gd name="connsiteX1" fmla="*/ 1050838 w 1050838"/>
              <a:gd name="connsiteY1" fmla="*/ 0 h 1050838"/>
              <a:gd name="connsiteX2" fmla="*/ 1050838 w 1050838"/>
              <a:gd name="connsiteY2" fmla="*/ 1050838 h 1050838"/>
              <a:gd name="connsiteX3" fmla="*/ 0 w 1050838"/>
              <a:gd name="connsiteY3" fmla="*/ 1050838 h 1050838"/>
              <a:gd name="connsiteX4" fmla="*/ 0 w 1050838"/>
              <a:gd name="connsiteY4" fmla="*/ 0 h 105083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50838" h="1050838">
                <a:moveTo>
                  <a:pt x="0" y="0"/>
                </a:moveTo>
                <a:lnTo>
                  <a:pt x="1050838" y="0"/>
                </a:lnTo>
                <a:lnTo>
                  <a:pt x="1050838" y="1050838"/>
                </a:lnTo>
                <a:lnTo>
                  <a:pt x="0" y="105083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/>
          <a:p>
            <a:pPr lvl="0" algn="ctr" defTabSz="14668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de-CH" sz="3300" kern="1200"/>
          </a:p>
        </xdr:txBody>
      </xdr:sp>
      <xdr:grpSp>
        <xdr:nvGrpSpPr>
          <xdr:cNvPr id="43" name="Gruppieren 42">
            <a:extLst>
              <a:ext uri="{FF2B5EF4-FFF2-40B4-BE49-F238E27FC236}">
                <a16:creationId xmlns:a16="http://schemas.microsoft.com/office/drawing/2014/main" id="{00000000-0008-0000-0B00-00002B000000}"/>
              </a:ext>
            </a:extLst>
          </xdr:cNvPr>
          <xdr:cNvGrpSpPr/>
        </xdr:nvGrpSpPr>
        <xdr:grpSpPr>
          <a:xfrm rot="156927">
            <a:off x="1379542" y="2336805"/>
            <a:ext cx="5851514" cy="5851514"/>
            <a:chOff x="1665292" y="2365380"/>
            <a:chExt cx="5851514" cy="5851514"/>
          </a:xfrm>
        </xdr:grpSpPr>
        <xdr:sp macro="" textlink="">
          <xdr:nvSpPr>
            <xdr:cNvPr id="44" name="Gebogener Pfeil 43">
              <a:extLst>
                <a:ext uri="{FF2B5EF4-FFF2-40B4-BE49-F238E27FC236}">
                  <a16:creationId xmlns:a16="http://schemas.microsoft.com/office/drawing/2014/main" id="{00000000-0008-0000-0B00-00002C000000}"/>
                </a:ext>
              </a:extLst>
            </xdr:cNvPr>
            <xdr:cNvSpPr/>
          </xdr:nvSpPr>
          <xdr:spPr>
            <a:xfrm rot="442738">
              <a:off x="1665292" y="2365380"/>
              <a:ext cx="5851514" cy="5851514"/>
            </a:xfrm>
            <a:prstGeom prst="circularArrow">
              <a:avLst>
                <a:gd name="adj1" fmla="val 3502"/>
                <a:gd name="adj2" fmla="val 217153"/>
                <a:gd name="adj3" fmla="val 19268408"/>
                <a:gd name="adj4" fmla="val 18314439"/>
                <a:gd name="adj5" fmla="val 4086"/>
              </a:avLst>
            </a:prstGeom>
            <a:scene3d>
              <a:camera prst="orthographicFront"/>
              <a:lightRig rig="flat" dir="t"/>
            </a:scene3d>
            <a:sp3d prstMaterial="dkEdge">
              <a:bevelT w="8200" h="38100"/>
            </a:sp3d>
          </xdr:spPr>
          <xdr:style>
            <a:lnRef idx="0">
              <a:schemeClr val="lt1">
                <a:hueOff val="0"/>
                <a:satOff val="0"/>
                <a:lumOff val="0"/>
                <a:alphaOff val="0"/>
              </a:schemeClr>
            </a:lnRef>
            <a:fillRef idx="2">
              <a:schemeClr val="accent1">
                <a:hueOff val="0"/>
                <a:satOff val="0"/>
                <a:lumOff val="0"/>
                <a:alphaOff val="0"/>
              </a:schemeClr>
            </a:fillRef>
            <a:effectRef idx="1">
              <a:schemeClr val="accent1">
                <a:hueOff val="0"/>
                <a:satOff val="0"/>
                <a:lumOff val="0"/>
                <a:alphaOff val="0"/>
              </a:schemeClr>
            </a:effectRef>
            <a:fontRef idx="minor">
              <a:schemeClr val="dk1"/>
            </a:fontRef>
          </xdr:style>
          <xdr:txBody>
            <a:bodyPr/>
            <a:lstStyle/>
            <a:p>
              <a:endParaRPr lang="de-CH"/>
            </a:p>
          </xdr:txBody>
        </xdr:sp>
        <xdr:sp macro="" textlink="">
          <xdr:nvSpPr>
            <xdr:cNvPr id="45" name="Textfeld 44">
              <a:extLst>
                <a:ext uri="{FF2B5EF4-FFF2-40B4-BE49-F238E27FC236}">
                  <a16:creationId xmlns:a16="http://schemas.microsoft.com/office/drawing/2014/main" id="{00000000-0008-0000-0B00-00002D000000}"/>
                </a:ext>
              </a:extLst>
            </xdr:cNvPr>
            <xdr:cNvSpPr txBox="1"/>
          </xdr:nvSpPr>
          <xdr:spPr>
            <a:xfrm rot="3060000">
              <a:off x="6435930" y="3444157"/>
              <a:ext cx="489558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de-CH" sz="1100"/>
                <a:t>PLAN</a:t>
              </a:r>
            </a:p>
          </xdr:txBody>
        </xdr:sp>
      </xdr:grpSp>
      <xdr:grpSp>
        <xdr:nvGrpSpPr>
          <xdr:cNvPr id="46" name="Gruppieren 45">
            <a:extLst>
              <a:ext uri="{FF2B5EF4-FFF2-40B4-BE49-F238E27FC236}">
                <a16:creationId xmlns:a16="http://schemas.microsoft.com/office/drawing/2014/main" id="{00000000-0008-0000-0B00-00002E000000}"/>
              </a:ext>
            </a:extLst>
          </xdr:cNvPr>
          <xdr:cNvGrpSpPr/>
        </xdr:nvGrpSpPr>
        <xdr:grpSpPr>
          <a:xfrm>
            <a:off x="1379542" y="2336805"/>
            <a:ext cx="5851514" cy="5851514"/>
            <a:chOff x="1665292" y="2365380"/>
            <a:chExt cx="5851514" cy="5851514"/>
          </a:xfrm>
        </xdr:grpSpPr>
        <xdr:sp macro="" textlink="">
          <xdr:nvSpPr>
            <xdr:cNvPr id="47" name="Gebogener Pfeil 46">
              <a:extLst>
                <a:ext uri="{FF2B5EF4-FFF2-40B4-BE49-F238E27FC236}">
                  <a16:creationId xmlns:a16="http://schemas.microsoft.com/office/drawing/2014/main" id="{00000000-0008-0000-0B00-00002F000000}"/>
                </a:ext>
              </a:extLst>
            </xdr:cNvPr>
            <xdr:cNvSpPr/>
          </xdr:nvSpPr>
          <xdr:spPr>
            <a:xfrm rot="20712497">
              <a:off x="1665292" y="2365380"/>
              <a:ext cx="5851514" cy="5851514"/>
            </a:xfrm>
            <a:prstGeom prst="circularArrow">
              <a:avLst>
                <a:gd name="adj1" fmla="val 3502"/>
                <a:gd name="adj2" fmla="val 217153"/>
                <a:gd name="adj3" fmla="val 5834255"/>
                <a:gd name="adj4" fmla="val 4748592"/>
                <a:gd name="adj5" fmla="val 4086"/>
              </a:avLst>
            </a:prstGeom>
            <a:scene3d>
              <a:camera prst="orthographicFront"/>
              <a:lightRig rig="flat" dir="t"/>
            </a:scene3d>
            <a:sp3d prstMaterial="dkEdge">
              <a:bevelT w="8200" h="38100"/>
            </a:sp3d>
          </xdr:spPr>
          <xdr:style>
            <a:lnRef idx="0">
              <a:schemeClr val="lt1">
                <a:hueOff val="0"/>
                <a:satOff val="0"/>
                <a:lumOff val="0"/>
                <a:alphaOff val="0"/>
              </a:schemeClr>
            </a:lnRef>
            <a:fillRef idx="2">
              <a:schemeClr val="accent1">
                <a:hueOff val="0"/>
                <a:satOff val="0"/>
                <a:lumOff val="0"/>
                <a:alphaOff val="0"/>
              </a:schemeClr>
            </a:fillRef>
            <a:effectRef idx="1">
              <a:schemeClr val="accent1">
                <a:hueOff val="0"/>
                <a:satOff val="0"/>
                <a:lumOff val="0"/>
                <a:alphaOff val="0"/>
              </a:schemeClr>
            </a:effectRef>
            <a:fontRef idx="minor">
              <a:schemeClr val="dk1"/>
            </a:fontRef>
          </xdr:style>
        </xdr:sp>
        <xdr:sp macro="" textlink="">
          <xdr:nvSpPr>
            <xdr:cNvPr id="48" name="Textfeld 47">
              <a:extLst>
                <a:ext uri="{FF2B5EF4-FFF2-40B4-BE49-F238E27FC236}">
                  <a16:creationId xmlns:a16="http://schemas.microsoft.com/office/drawing/2014/main" id="{00000000-0008-0000-0B00-000030000000}"/>
                </a:ext>
              </a:extLst>
            </xdr:cNvPr>
            <xdr:cNvSpPr txBox="1"/>
          </xdr:nvSpPr>
          <xdr:spPr>
            <a:xfrm rot="9600000">
              <a:off x="5218330" y="7754648"/>
              <a:ext cx="364908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de-CH" sz="1100"/>
                <a:t>DO</a:t>
              </a:r>
            </a:p>
          </xdr:txBody>
        </xdr:sp>
      </xdr:grpSp>
      <xdr:grpSp>
        <xdr:nvGrpSpPr>
          <xdr:cNvPr id="49" name="Gruppieren 48">
            <a:extLst>
              <a:ext uri="{FF2B5EF4-FFF2-40B4-BE49-F238E27FC236}">
                <a16:creationId xmlns:a16="http://schemas.microsoft.com/office/drawing/2014/main" id="{00000000-0008-0000-0B00-000031000000}"/>
              </a:ext>
            </a:extLst>
          </xdr:cNvPr>
          <xdr:cNvGrpSpPr/>
        </xdr:nvGrpSpPr>
        <xdr:grpSpPr>
          <a:xfrm>
            <a:off x="1379542" y="2336805"/>
            <a:ext cx="5851514" cy="5851514"/>
            <a:chOff x="1665292" y="2365380"/>
            <a:chExt cx="5851514" cy="5851514"/>
          </a:xfrm>
        </xdr:grpSpPr>
        <xdr:sp macro="" textlink="">
          <xdr:nvSpPr>
            <xdr:cNvPr id="50" name="Gebogener Pfeil 49">
              <a:extLst>
                <a:ext uri="{FF2B5EF4-FFF2-40B4-BE49-F238E27FC236}">
                  <a16:creationId xmlns:a16="http://schemas.microsoft.com/office/drawing/2014/main" id="{00000000-0008-0000-0B00-000032000000}"/>
                </a:ext>
              </a:extLst>
            </xdr:cNvPr>
            <xdr:cNvSpPr/>
          </xdr:nvSpPr>
          <xdr:spPr>
            <a:xfrm rot="19932730">
              <a:off x="1665292" y="2365380"/>
              <a:ext cx="5851514" cy="5851514"/>
            </a:xfrm>
            <a:prstGeom prst="circularArrow">
              <a:avLst>
                <a:gd name="adj1" fmla="val 3502"/>
                <a:gd name="adj2" fmla="val 217153"/>
                <a:gd name="adj3" fmla="val 8468408"/>
                <a:gd name="adj4" fmla="val 7514439"/>
                <a:gd name="adj5" fmla="val 4086"/>
              </a:avLst>
            </a:prstGeom>
            <a:scene3d>
              <a:camera prst="orthographicFront"/>
              <a:lightRig rig="flat" dir="t"/>
            </a:scene3d>
            <a:sp3d prstMaterial="dkEdge">
              <a:bevelT w="8200" h="38100"/>
            </a:sp3d>
          </xdr:spPr>
          <xdr:style>
            <a:lnRef idx="0">
              <a:schemeClr val="lt1">
                <a:hueOff val="0"/>
                <a:satOff val="0"/>
                <a:lumOff val="0"/>
                <a:alphaOff val="0"/>
              </a:schemeClr>
            </a:lnRef>
            <a:fillRef idx="2">
              <a:schemeClr val="accent1">
                <a:hueOff val="0"/>
                <a:satOff val="0"/>
                <a:lumOff val="0"/>
                <a:alphaOff val="0"/>
              </a:schemeClr>
            </a:fillRef>
            <a:effectRef idx="1">
              <a:schemeClr val="accent1">
                <a:hueOff val="0"/>
                <a:satOff val="0"/>
                <a:lumOff val="0"/>
                <a:alphaOff val="0"/>
              </a:schemeClr>
            </a:effectRef>
            <a:fontRef idx="minor">
              <a:schemeClr val="dk1"/>
            </a:fontRef>
          </xdr:style>
        </xdr:sp>
        <xdr:sp macro="" textlink="">
          <xdr:nvSpPr>
            <xdr:cNvPr id="51" name="Textfeld 50">
              <a:extLst>
                <a:ext uri="{FF2B5EF4-FFF2-40B4-BE49-F238E27FC236}">
                  <a16:creationId xmlns:a16="http://schemas.microsoft.com/office/drawing/2014/main" id="{00000000-0008-0000-0B00-000033000000}"/>
                </a:ext>
              </a:extLst>
            </xdr:cNvPr>
            <xdr:cNvSpPr txBox="1"/>
          </xdr:nvSpPr>
          <xdr:spPr>
            <a:xfrm rot="11880000">
              <a:off x="3598203" y="7795699"/>
              <a:ext cx="565155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de-CH" sz="1100"/>
                <a:t>CHECK</a:t>
              </a:r>
            </a:p>
          </xdr:txBody>
        </xdr:sp>
      </xdr:grpSp>
      <xdr:grpSp>
        <xdr:nvGrpSpPr>
          <xdr:cNvPr id="52" name="Gruppieren 51">
            <a:extLst>
              <a:ext uri="{FF2B5EF4-FFF2-40B4-BE49-F238E27FC236}">
                <a16:creationId xmlns:a16="http://schemas.microsoft.com/office/drawing/2014/main" id="{00000000-0008-0000-0B00-000034000000}"/>
              </a:ext>
            </a:extLst>
          </xdr:cNvPr>
          <xdr:cNvGrpSpPr/>
        </xdr:nvGrpSpPr>
        <xdr:grpSpPr>
          <a:xfrm rot="21449825">
            <a:off x="1379542" y="2336805"/>
            <a:ext cx="5851514" cy="5851514"/>
            <a:chOff x="1665292" y="2365380"/>
            <a:chExt cx="5851514" cy="5851514"/>
          </a:xfrm>
        </xdr:grpSpPr>
        <xdr:sp macro="" textlink="">
          <xdr:nvSpPr>
            <xdr:cNvPr id="53" name="Gebogener Pfeil 52">
              <a:extLst>
                <a:ext uri="{FF2B5EF4-FFF2-40B4-BE49-F238E27FC236}">
                  <a16:creationId xmlns:a16="http://schemas.microsoft.com/office/drawing/2014/main" id="{00000000-0008-0000-0B00-000035000000}"/>
                </a:ext>
              </a:extLst>
            </xdr:cNvPr>
            <xdr:cNvSpPr/>
          </xdr:nvSpPr>
          <xdr:spPr>
            <a:xfrm rot="21238412">
              <a:off x="1665292" y="2365380"/>
              <a:ext cx="5851514" cy="5851514"/>
            </a:xfrm>
            <a:prstGeom prst="circularArrow">
              <a:avLst>
                <a:gd name="adj1" fmla="val 3502"/>
                <a:gd name="adj2" fmla="val 217153"/>
                <a:gd name="adj3" fmla="val 13868408"/>
                <a:gd name="adj4" fmla="val 12914439"/>
                <a:gd name="adj5" fmla="val 4086"/>
              </a:avLst>
            </a:prstGeom>
            <a:scene3d>
              <a:camera prst="orthographicFront"/>
              <a:lightRig rig="flat" dir="t"/>
            </a:scene3d>
            <a:sp3d prstMaterial="dkEdge">
              <a:bevelT w="8200" h="38100"/>
            </a:sp3d>
          </xdr:spPr>
          <xdr:style>
            <a:lnRef idx="0">
              <a:schemeClr val="lt1">
                <a:hueOff val="0"/>
                <a:satOff val="0"/>
                <a:lumOff val="0"/>
                <a:alphaOff val="0"/>
              </a:schemeClr>
            </a:lnRef>
            <a:fillRef idx="2">
              <a:schemeClr val="accent1">
                <a:hueOff val="0"/>
                <a:satOff val="0"/>
                <a:lumOff val="0"/>
                <a:alphaOff val="0"/>
              </a:schemeClr>
            </a:fillRef>
            <a:effectRef idx="1">
              <a:schemeClr val="accent1">
                <a:hueOff val="0"/>
                <a:satOff val="0"/>
                <a:lumOff val="0"/>
                <a:alphaOff val="0"/>
              </a:schemeClr>
            </a:effectRef>
            <a:fontRef idx="minor">
              <a:schemeClr val="dk1"/>
            </a:fontRef>
          </xdr:style>
        </xdr:sp>
        <xdr:sp macro="" textlink="">
          <xdr:nvSpPr>
            <xdr:cNvPr id="54" name="Textfeld 53">
              <a:extLst>
                <a:ext uri="{FF2B5EF4-FFF2-40B4-BE49-F238E27FC236}">
                  <a16:creationId xmlns:a16="http://schemas.microsoft.com/office/drawing/2014/main" id="{00000000-0008-0000-0B00-000036000000}"/>
                </a:ext>
              </a:extLst>
            </xdr:cNvPr>
            <xdr:cNvSpPr txBox="1"/>
          </xdr:nvSpPr>
          <xdr:spPr>
            <a:xfrm rot="18544788">
              <a:off x="2230085" y="3515255"/>
              <a:ext cx="410241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de-CH" sz="1100"/>
                <a:t>ACT</a:t>
              </a:r>
            </a:p>
          </xdr:txBody>
        </xdr:sp>
      </xdr:grpSp>
      <xdr:sp macro="" textlink="">
        <xdr:nvSpPr>
          <xdr:cNvPr id="55" name="Oval 4">
            <a:extLst>
              <a:ext uri="{FF2B5EF4-FFF2-40B4-BE49-F238E27FC236}">
                <a16:creationId xmlns:a16="http://schemas.microsoft.com/office/drawing/2014/main" id="{00000000-0008-0000-0B00-000037000000}"/>
              </a:ext>
            </a:extLst>
          </xdr:cNvPr>
          <xdr:cNvSpPr>
            <a:spLocks noChangeArrowheads="1"/>
          </xdr:cNvSpPr>
        </xdr:nvSpPr>
        <xdr:spPr bwMode="auto">
          <a:xfrm>
            <a:off x="3408936" y="4928952"/>
            <a:ext cx="1764000" cy="1764000"/>
          </a:xfrm>
          <a:prstGeom prst="ellipse">
            <a:avLst/>
          </a:prstGeom>
          <a:solidFill>
            <a:schemeClr val="accent3">
              <a:lumMod val="20000"/>
              <a:lumOff val="80000"/>
              <a:alpha val="40000"/>
            </a:schemeClr>
          </a:solidFill>
          <a:ln w="3175">
            <a:headEnd/>
            <a:tailEnd/>
          </a:ln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>
              <a:defRPr/>
            </a:pPr>
            <a:endParaRPr lang="de-CH" sz="1200" b="0"/>
          </a:p>
        </xdr:txBody>
      </xdr:sp>
      <xdr:sp macro="" textlink="' '!A561">
        <xdr:nvSpPr>
          <xdr:cNvPr id="56" name="Text Box 10">
            <a:extLst>
              <a:ext uri="{FF2B5EF4-FFF2-40B4-BE49-F238E27FC236}">
                <a16:creationId xmlns:a16="http://schemas.microsoft.com/office/drawing/2014/main" id="{00000000-0008-0000-0B00-00003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463221" y="5919709"/>
            <a:ext cx="1650199" cy="56620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 anchor="ctr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>
              <a:spcBef>
                <a:spcPct val="50000"/>
              </a:spcBef>
              <a:defRPr/>
            </a:pPr>
            <a:fld id="{5645DCD4-B177-4202-8C1E-6D0CDEE0B2AB}" type="TxLink">
              <a:rPr lang="en-US" sz="1600" b="0" kern="1200">
                <a:solidFill>
                  <a:srgbClr val="A3AE0F">
                    <a:lumMod val="50000"/>
                  </a:srgbClr>
                </a:solidFill>
                <a:latin typeface="Arial" pitchFamily="34" charset="0"/>
                <a:ea typeface="+mn-ea"/>
                <a:cs typeface="+mn-cs"/>
              </a:rPr>
              <a:pPr>
                <a:spcBef>
                  <a:spcPct val="50000"/>
                </a:spcBef>
                <a:defRPr/>
              </a:pPr>
              <a:t>Personal &amp; Innovation</a:t>
            </a:fld>
            <a:endParaRPr lang="de-CH" sz="1600" b="0" kern="1200">
              <a:solidFill>
                <a:srgbClr val="A3AE0F">
                  <a:lumMod val="50000"/>
                </a:srgbClr>
              </a:solidFill>
              <a:latin typeface="Arial" pitchFamily="34" charset="0"/>
              <a:ea typeface="+mn-ea"/>
              <a:cs typeface="+mn-cs"/>
            </a:endParaRPr>
          </a:p>
        </xdr:txBody>
      </xdr:sp>
      <xdr:sp macro="" textlink="">
        <xdr:nvSpPr>
          <xdr:cNvPr id="57" name="Oval 9">
            <a:extLst>
              <a:ext uri="{FF2B5EF4-FFF2-40B4-BE49-F238E27FC236}">
                <a16:creationId xmlns:a16="http://schemas.microsoft.com/office/drawing/2014/main" id="{00000000-0008-0000-0B00-000039000000}"/>
              </a:ext>
            </a:extLst>
          </xdr:cNvPr>
          <xdr:cNvSpPr>
            <a:spLocks noChangeArrowheads="1"/>
          </xdr:cNvSpPr>
        </xdr:nvSpPr>
        <xdr:spPr bwMode="auto">
          <a:xfrm>
            <a:off x="2968083" y="4058055"/>
            <a:ext cx="1764000" cy="1764000"/>
          </a:xfrm>
          <a:prstGeom prst="ellipse">
            <a:avLst/>
          </a:prstGeom>
          <a:solidFill>
            <a:schemeClr val="accent2">
              <a:lumMod val="20000"/>
              <a:lumOff val="80000"/>
              <a:alpha val="40000"/>
            </a:schemeClr>
          </a:solidFill>
          <a:ln w="3175">
            <a:headEnd/>
            <a:tailEnd/>
          </a:ln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>
              <a:defRPr/>
            </a:pPr>
            <a:endParaRPr lang="de-CH" sz="1200" b="0"/>
          </a:p>
        </xdr:txBody>
      </xdr:sp>
      <xdr:sp macro="" textlink="' '!A559">
        <xdr:nvSpPr>
          <xdr:cNvPr id="58" name="Text Box 14">
            <a:extLst>
              <a:ext uri="{FF2B5EF4-FFF2-40B4-BE49-F238E27FC236}">
                <a16:creationId xmlns:a16="http://schemas.microsoft.com/office/drawing/2014/main" id="{00000000-0008-0000-0B00-00003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62019" y="4487338"/>
            <a:ext cx="1117276" cy="32942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scene3d>
            <a:camera prst="orthographicFront">
              <a:rot lat="0" lon="0" rev="3600000"/>
            </a:camera>
            <a:lightRig rig="threePt" dir="t"/>
          </a:scene3d>
        </xdr:spPr>
        <xdr:txBody>
          <a:bodyPr wrap="square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 algn="l">
              <a:spcBef>
                <a:spcPct val="50000"/>
              </a:spcBef>
            </a:pPr>
            <a:fld id="{247A4CD1-0A0C-4A38-8202-2F1A7265B340}" type="TxLink">
              <a:rPr lang="en-US" sz="1600" b="0" kern="1200">
                <a:solidFill>
                  <a:srgbClr val="C00000"/>
                </a:solidFill>
                <a:latin typeface="Arial" pitchFamily="34" charset="0"/>
                <a:ea typeface="+mn-ea"/>
                <a:cs typeface="+mn-cs"/>
              </a:rPr>
              <a:pPr algn="l">
                <a:spcBef>
                  <a:spcPct val="50000"/>
                </a:spcBef>
              </a:pPr>
              <a:t>Qualität</a:t>
            </a:fld>
            <a:endParaRPr lang="de-CH" sz="1600" b="0" kern="1200">
              <a:solidFill>
                <a:srgbClr val="C00000"/>
              </a:solidFill>
              <a:latin typeface="Arial" pitchFamily="34" charset="0"/>
              <a:ea typeface="+mn-ea"/>
              <a:cs typeface="+mn-cs"/>
            </a:endParaRPr>
          </a:p>
        </xdr:txBody>
      </xdr:sp>
      <xdr:sp macro="" textlink="">
        <xdr:nvSpPr>
          <xdr:cNvPr id="59" name="Oval 13">
            <a:extLst>
              <a:ext uri="{FF2B5EF4-FFF2-40B4-BE49-F238E27FC236}">
                <a16:creationId xmlns:a16="http://schemas.microsoft.com/office/drawing/2014/main" id="{00000000-0008-0000-0B00-00003B000000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3834720" y="4058055"/>
            <a:ext cx="1764000" cy="1764000"/>
          </a:xfrm>
          <a:prstGeom prst="ellipse">
            <a:avLst/>
          </a:prstGeom>
          <a:solidFill>
            <a:schemeClr val="accent4">
              <a:lumMod val="40000"/>
              <a:lumOff val="60000"/>
              <a:alpha val="40000"/>
            </a:schemeClr>
          </a:solidFill>
          <a:ln w="3175">
            <a:headEnd/>
            <a:tailEnd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wrap="square" anchor="ctr"/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>
              <a:defRPr/>
            </a:pPr>
            <a:endParaRPr lang="de-CH" sz="1200"/>
          </a:p>
        </xdr:txBody>
      </xdr:sp>
      <xdr:sp macro="" textlink="' '!A560">
        <xdr:nvSpPr>
          <xdr:cNvPr id="60" name="Text Box 52">
            <a:extLst>
              <a:ext uri="{FF2B5EF4-FFF2-40B4-BE49-F238E27FC236}">
                <a16:creationId xmlns:a16="http://schemas.microsoft.com/office/drawing/2014/main" id="{00000000-0008-0000-0B00-00003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14528" y="4500705"/>
            <a:ext cx="1055236" cy="3284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scene3d>
            <a:camera prst="orthographicFront">
              <a:rot lat="0" lon="0" rev="18000000"/>
            </a:camera>
            <a:lightRig rig="threePt" dir="t"/>
          </a:scene3d>
        </xdr:spPr>
        <xdr:txBody>
          <a:bodyPr wrap="square">
            <a:noAutofit/>
          </a:bodyPr>
          <a:lstStyle>
            <a:defPPr>
              <a:defRPr lang="de-DE"/>
            </a:defPPr>
            <a:lvl1pPr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1pPr>
            <a:lvl2pPr marL="4572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2pPr>
            <a:lvl3pPr marL="9144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3pPr>
            <a:lvl4pPr marL="13716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4pPr>
            <a:lvl5pPr marL="182880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  <a:defRPr sz="3200" b="1" kern="1200">
                <a:solidFill>
                  <a:srgbClr val="000099"/>
                </a:solidFill>
                <a:latin typeface="Arial" pitchFamily="34" charset="0"/>
              </a:defRPr>
            </a:lvl5pPr>
            <a:lvl6pPr marL="22860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6pPr>
            <a:lvl7pPr marL="27432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7pPr>
            <a:lvl8pPr marL="32004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8pPr>
            <a:lvl9pPr marL="3657600" algn="l" defTabSz="914400" rtl="0" eaLnBrk="1" latinLnBrk="0" hangingPunct="1">
              <a:defRPr sz="3200" b="1" kern="1200">
                <a:solidFill>
                  <a:srgbClr val="000099"/>
                </a:solidFill>
                <a:latin typeface="Arial" pitchFamily="34" charset="0"/>
              </a:defRPr>
            </a:lvl9pPr>
          </a:lstStyle>
          <a:p>
            <a:pPr algn="ctr">
              <a:spcBef>
                <a:spcPct val="50000"/>
              </a:spcBef>
            </a:pPr>
            <a:fld id="{F629814D-DD2B-43CF-8968-6DE2FA0F34A0}" type="TxLink">
              <a:rPr lang="en-US" sz="1600" b="0" kern="1200">
                <a:solidFill>
                  <a:srgbClr val="002060"/>
                </a:solidFill>
                <a:latin typeface="Arial" pitchFamily="34" charset="0"/>
                <a:ea typeface="+mn-ea"/>
                <a:cs typeface="+mn-cs"/>
              </a:rPr>
              <a:pPr algn="ctr">
                <a:spcBef>
                  <a:spcPct val="50000"/>
                </a:spcBef>
              </a:pPr>
              <a:t>Kultur</a:t>
            </a:fld>
            <a:endParaRPr lang="de-CH" sz="1600" b="0" kern="1200">
              <a:solidFill>
                <a:srgbClr val="002060"/>
              </a:solidFill>
              <a:latin typeface="Arial" pitchFamily="34" charset="0"/>
              <a:ea typeface="+mn-ea"/>
              <a:cs typeface="+mn-cs"/>
            </a:endParaRPr>
          </a:p>
        </xdr:txBody>
      </xdr:sp>
      <xdr:grpSp>
        <xdr:nvGrpSpPr>
          <xdr:cNvPr id="61" name="Gruppieren 60">
            <a:extLst>
              <a:ext uri="{FF2B5EF4-FFF2-40B4-BE49-F238E27FC236}">
                <a16:creationId xmlns:a16="http://schemas.microsoft.com/office/drawing/2014/main" id="{00000000-0008-0000-0B00-00003D000000}"/>
              </a:ext>
            </a:extLst>
          </xdr:cNvPr>
          <xdr:cNvGrpSpPr>
            <a:grpSpLocks noChangeAspect="1"/>
          </xdr:cNvGrpSpPr>
        </xdr:nvGrpSpPr>
        <xdr:grpSpPr>
          <a:xfrm>
            <a:off x="3845324" y="4928709"/>
            <a:ext cx="881318" cy="792000"/>
            <a:chOff x="3551291" y="4965567"/>
            <a:chExt cx="867742" cy="779800"/>
          </a:xfrm>
          <a:effectLst/>
        </xdr:grpSpPr>
        <xdr:sp macro="" textlink="">
          <xdr:nvSpPr>
            <xdr:cNvPr id="62" name="Freeform 32">
              <a:extLst>
                <a:ext uri="{FF2B5EF4-FFF2-40B4-BE49-F238E27FC236}">
                  <a16:creationId xmlns:a16="http://schemas.microsoft.com/office/drawing/2014/main" id="{00000000-0008-0000-0B00-00003E000000}"/>
                </a:ext>
              </a:extLst>
            </xdr:cNvPr>
            <xdr:cNvSpPr>
              <a:spLocks/>
            </xdr:cNvSpPr>
          </xdr:nvSpPr>
          <xdr:spPr bwMode="auto">
            <a:xfrm>
              <a:off x="3551291" y="4965567"/>
              <a:ext cx="867742" cy="779800"/>
            </a:xfrm>
            <a:custGeom>
              <a:avLst/>
              <a:gdLst>
                <a:gd name="T0" fmla="*/ 425482 w 785"/>
                <a:gd name="T1" fmla="*/ 745854 h 702"/>
                <a:gd name="T2" fmla="*/ 443841 w 785"/>
                <a:gd name="T3" fmla="*/ 736125 h 702"/>
                <a:gd name="T4" fmla="*/ 465439 w 785"/>
                <a:gd name="T5" fmla="*/ 724235 h 702"/>
                <a:gd name="T6" fmla="*/ 489197 w 785"/>
                <a:gd name="T7" fmla="*/ 708020 h 702"/>
                <a:gd name="T8" fmla="*/ 511875 w 785"/>
                <a:gd name="T9" fmla="*/ 691806 h 702"/>
                <a:gd name="T10" fmla="*/ 530233 w 785"/>
                <a:gd name="T11" fmla="*/ 674511 h 702"/>
                <a:gd name="T12" fmla="*/ 549671 w 785"/>
                <a:gd name="T13" fmla="*/ 659378 h 702"/>
                <a:gd name="T14" fmla="*/ 576669 w 785"/>
                <a:gd name="T15" fmla="*/ 637759 h 702"/>
                <a:gd name="T16" fmla="*/ 601507 w 785"/>
                <a:gd name="T17" fmla="*/ 615059 h 702"/>
                <a:gd name="T18" fmla="*/ 619865 w 785"/>
                <a:gd name="T19" fmla="*/ 594521 h 702"/>
                <a:gd name="T20" fmla="*/ 644703 w 785"/>
                <a:gd name="T21" fmla="*/ 567497 h 702"/>
                <a:gd name="T22" fmla="*/ 655502 w 785"/>
                <a:gd name="T23" fmla="*/ 550202 h 702"/>
                <a:gd name="T24" fmla="*/ 672781 w 785"/>
                <a:gd name="T25" fmla="*/ 528583 h 702"/>
                <a:gd name="T26" fmla="*/ 693299 w 785"/>
                <a:gd name="T27" fmla="*/ 502640 h 702"/>
                <a:gd name="T28" fmla="*/ 708417 w 785"/>
                <a:gd name="T29" fmla="*/ 476698 h 702"/>
                <a:gd name="T30" fmla="*/ 736495 w 785"/>
                <a:gd name="T31" fmla="*/ 434541 h 702"/>
                <a:gd name="T32" fmla="*/ 752693 w 785"/>
                <a:gd name="T33" fmla="*/ 407517 h 702"/>
                <a:gd name="T34" fmla="*/ 766732 w 785"/>
                <a:gd name="T35" fmla="*/ 382655 h 702"/>
                <a:gd name="T36" fmla="*/ 779691 w 785"/>
                <a:gd name="T37" fmla="*/ 354551 h 702"/>
                <a:gd name="T38" fmla="*/ 795890 w 785"/>
                <a:gd name="T39" fmla="*/ 316718 h 702"/>
                <a:gd name="T40" fmla="*/ 801289 w 785"/>
                <a:gd name="T41" fmla="*/ 292937 h 702"/>
                <a:gd name="T42" fmla="*/ 815328 w 785"/>
                <a:gd name="T43" fmla="*/ 259427 h 702"/>
                <a:gd name="T44" fmla="*/ 823967 w 785"/>
                <a:gd name="T45" fmla="*/ 228080 h 702"/>
                <a:gd name="T46" fmla="*/ 831526 w 785"/>
                <a:gd name="T47" fmla="*/ 205380 h 702"/>
                <a:gd name="T48" fmla="*/ 832606 w 785"/>
                <a:gd name="T49" fmla="*/ 180518 h 702"/>
                <a:gd name="T50" fmla="*/ 839086 w 785"/>
                <a:gd name="T51" fmla="*/ 159980 h 702"/>
                <a:gd name="T52" fmla="*/ 841246 w 785"/>
                <a:gd name="T53" fmla="*/ 130795 h 702"/>
                <a:gd name="T54" fmla="*/ 836926 w 785"/>
                <a:gd name="T55" fmla="*/ 104852 h 702"/>
                <a:gd name="T56" fmla="*/ 806689 w 785"/>
                <a:gd name="T57" fmla="*/ 88638 h 702"/>
                <a:gd name="T58" fmla="*/ 787250 w 785"/>
                <a:gd name="T59" fmla="*/ 81071 h 702"/>
                <a:gd name="T60" fmla="*/ 757013 w 785"/>
                <a:gd name="T61" fmla="*/ 68100 h 702"/>
                <a:gd name="T62" fmla="*/ 736495 w 785"/>
                <a:gd name="T63" fmla="*/ 60533 h 702"/>
                <a:gd name="T64" fmla="*/ 700858 w 785"/>
                <a:gd name="T65" fmla="*/ 47562 h 702"/>
                <a:gd name="T66" fmla="*/ 613386 w 785"/>
                <a:gd name="T67" fmla="*/ 21619 h 702"/>
                <a:gd name="T68" fmla="*/ 568030 w 785"/>
                <a:gd name="T69" fmla="*/ 12971 h 702"/>
                <a:gd name="T70" fmla="*/ 516194 w 785"/>
                <a:gd name="T71" fmla="*/ 5405 h 702"/>
                <a:gd name="T72" fmla="*/ 443841 w 785"/>
                <a:gd name="T73" fmla="*/ 0 h 702"/>
                <a:gd name="T74" fmla="*/ 366088 w 785"/>
                <a:gd name="T75" fmla="*/ 4324 h 702"/>
                <a:gd name="T76" fmla="*/ 334770 w 785"/>
                <a:gd name="T77" fmla="*/ 4324 h 702"/>
                <a:gd name="T78" fmla="*/ 304533 w 785"/>
                <a:gd name="T79" fmla="*/ 9729 h 702"/>
                <a:gd name="T80" fmla="*/ 254857 w 785"/>
                <a:gd name="T81" fmla="*/ 20538 h 702"/>
                <a:gd name="T82" fmla="*/ 193303 w 785"/>
                <a:gd name="T83" fmla="*/ 36752 h 702"/>
                <a:gd name="T84" fmla="*/ 133908 w 785"/>
                <a:gd name="T85" fmla="*/ 56209 h 702"/>
                <a:gd name="T86" fmla="*/ 75593 w 785"/>
                <a:gd name="T87" fmla="*/ 78909 h 702"/>
                <a:gd name="T88" fmla="*/ 26998 w 785"/>
                <a:gd name="T89" fmla="*/ 101609 h 702"/>
                <a:gd name="T90" fmla="*/ 5400 w 785"/>
                <a:gd name="T91" fmla="*/ 132957 h 702"/>
                <a:gd name="T92" fmla="*/ 18358 w 785"/>
                <a:gd name="T93" fmla="*/ 198894 h 702"/>
                <a:gd name="T94" fmla="*/ 35637 w 785"/>
                <a:gd name="T95" fmla="*/ 259427 h 702"/>
                <a:gd name="T96" fmla="*/ 57235 w 785"/>
                <a:gd name="T97" fmla="*/ 319960 h 702"/>
                <a:gd name="T98" fmla="*/ 83153 w 785"/>
                <a:gd name="T99" fmla="*/ 384817 h 702"/>
                <a:gd name="T100" fmla="*/ 126349 w 785"/>
                <a:gd name="T101" fmla="*/ 464807 h 702"/>
                <a:gd name="T102" fmla="*/ 196543 w 785"/>
                <a:gd name="T103" fmla="*/ 559931 h 702"/>
                <a:gd name="T104" fmla="*/ 296974 w 785"/>
                <a:gd name="T105" fmla="*/ 656135 h 702"/>
                <a:gd name="T106" fmla="*/ 396325 w 785"/>
                <a:gd name="T107" fmla="*/ 726397 h 702"/>
                <a:gd name="T108" fmla="*/ 0 60000 65536"/>
                <a:gd name="T109" fmla="*/ 0 60000 65536"/>
                <a:gd name="T110" fmla="*/ 0 60000 65536"/>
                <a:gd name="T111" fmla="*/ 0 60000 65536"/>
                <a:gd name="T112" fmla="*/ 0 60000 65536"/>
                <a:gd name="T113" fmla="*/ 0 60000 65536"/>
                <a:gd name="T114" fmla="*/ 0 60000 65536"/>
                <a:gd name="T115" fmla="*/ 0 60000 65536"/>
                <a:gd name="T116" fmla="*/ 0 60000 65536"/>
                <a:gd name="T117" fmla="*/ 0 60000 65536"/>
                <a:gd name="T118" fmla="*/ 0 60000 65536"/>
                <a:gd name="T119" fmla="*/ 0 60000 65536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  <a:gd name="T141" fmla="*/ 0 60000 65536"/>
                <a:gd name="T142" fmla="*/ 0 60000 65536"/>
                <a:gd name="T143" fmla="*/ 0 60000 65536"/>
                <a:gd name="T144" fmla="*/ 0 60000 65536"/>
                <a:gd name="T145" fmla="*/ 0 60000 65536"/>
                <a:gd name="T146" fmla="*/ 0 60000 65536"/>
                <a:gd name="T147" fmla="*/ 0 60000 65536"/>
                <a:gd name="T148" fmla="*/ 0 60000 65536"/>
                <a:gd name="T149" fmla="*/ 0 60000 65536"/>
                <a:gd name="T150" fmla="*/ 0 60000 65536"/>
                <a:gd name="T151" fmla="*/ 0 60000 65536"/>
                <a:gd name="T152" fmla="*/ 0 60000 65536"/>
                <a:gd name="T153" fmla="*/ 0 60000 65536"/>
                <a:gd name="T154" fmla="*/ 0 60000 65536"/>
                <a:gd name="T155" fmla="*/ 0 60000 65536"/>
                <a:gd name="T156" fmla="*/ 0 60000 65536"/>
                <a:gd name="T157" fmla="*/ 0 60000 65536"/>
                <a:gd name="T158" fmla="*/ 0 60000 65536"/>
                <a:gd name="T159" fmla="*/ 0 60000 65536"/>
                <a:gd name="T160" fmla="*/ 0 60000 65536"/>
                <a:gd name="T161" fmla="*/ 0 60000 65536"/>
                <a:gd name="T162" fmla="*/ 0 w 785"/>
                <a:gd name="T163" fmla="*/ 0 h 702"/>
                <a:gd name="T164" fmla="*/ 785 w 785"/>
                <a:gd name="T165" fmla="*/ 702 h 702"/>
              </a:gdLst>
              <a:ahLst/>
              <a:cxnLst>
                <a:cxn ang="T108">
                  <a:pos x="T0" y="T1"/>
                </a:cxn>
                <a:cxn ang="T109">
                  <a:pos x="T2" y="T3"/>
                </a:cxn>
                <a:cxn ang="T110">
                  <a:pos x="T4" y="T5"/>
                </a:cxn>
                <a:cxn ang="T111">
                  <a:pos x="T6" y="T7"/>
                </a:cxn>
                <a:cxn ang="T112">
                  <a:pos x="T8" y="T9"/>
                </a:cxn>
                <a:cxn ang="T113">
                  <a:pos x="T10" y="T11"/>
                </a:cxn>
                <a:cxn ang="T114">
                  <a:pos x="T12" y="T13"/>
                </a:cxn>
                <a:cxn ang="T115">
                  <a:pos x="T14" y="T15"/>
                </a:cxn>
                <a:cxn ang="T116">
                  <a:pos x="T16" y="T17"/>
                </a:cxn>
                <a:cxn ang="T117">
                  <a:pos x="T18" y="T19"/>
                </a:cxn>
                <a:cxn ang="T118">
                  <a:pos x="T20" y="T21"/>
                </a:cxn>
                <a:cxn ang="T119">
                  <a:pos x="T22" y="T23"/>
                </a:cxn>
                <a:cxn ang="T120">
                  <a:pos x="T24" y="T25"/>
                </a:cxn>
                <a:cxn ang="T121">
                  <a:pos x="T26" y="T27"/>
                </a:cxn>
                <a:cxn ang="T122">
                  <a:pos x="T28" y="T29"/>
                </a:cxn>
                <a:cxn ang="T123">
                  <a:pos x="T30" y="T31"/>
                </a:cxn>
                <a:cxn ang="T124">
                  <a:pos x="T32" y="T33"/>
                </a:cxn>
                <a:cxn ang="T125">
                  <a:pos x="T34" y="T35"/>
                </a:cxn>
                <a:cxn ang="T126">
                  <a:pos x="T36" y="T37"/>
                </a:cxn>
                <a:cxn ang="T127">
                  <a:pos x="T38" y="T39"/>
                </a:cxn>
                <a:cxn ang="T128">
                  <a:pos x="T40" y="T41"/>
                </a:cxn>
                <a:cxn ang="T129">
                  <a:pos x="T42" y="T43"/>
                </a:cxn>
                <a:cxn ang="T130">
                  <a:pos x="T44" y="T45"/>
                </a:cxn>
                <a:cxn ang="T131">
                  <a:pos x="T46" y="T47"/>
                </a:cxn>
                <a:cxn ang="T132">
                  <a:pos x="T48" y="T49"/>
                </a:cxn>
                <a:cxn ang="T133">
                  <a:pos x="T50" y="T51"/>
                </a:cxn>
                <a:cxn ang="T134">
                  <a:pos x="T52" y="T53"/>
                </a:cxn>
                <a:cxn ang="T135">
                  <a:pos x="T54" y="T55"/>
                </a:cxn>
                <a:cxn ang="T136">
                  <a:pos x="T56" y="T57"/>
                </a:cxn>
                <a:cxn ang="T137">
                  <a:pos x="T58" y="T59"/>
                </a:cxn>
                <a:cxn ang="T138">
                  <a:pos x="T60" y="T61"/>
                </a:cxn>
                <a:cxn ang="T139">
                  <a:pos x="T62" y="T63"/>
                </a:cxn>
                <a:cxn ang="T140">
                  <a:pos x="T64" y="T65"/>
                </a:cxn>
                <a:cxn ang="T141">
                  <a:pos x="T66" y="T67"/>
                </a:cxn>
                <a:cxn ang="T142">
                  <a:pos x="T68" y="T69"/>
                </a:cxn>
                <a:cxn ang="T143">
                  <a:pos x="T70" y="T71"/>
                </a:cxn>
                <a:cxn ang="T144">
                  <a:pos x="T72" y="T73"/>
                </a:cxn>
                <a:cxn ang="T145">
                  <a:pos x="T74" y="T75"/>
                </a:cxn>
                <a:cxn ang="T146">
                  <a:pos x="T76" y="T77"/>
                </a:cxn>
                <a:cxn ang="T147">
                  <a:pos x="T78" y="T79"/>
                </a:cxn>
                <a:cxn ang="T148">
                  <a:pos x="T80" y="T81"/>
                </a:cxn>
                <a:cxn ang="T149">
                  <a:pos x="T82" y="T83"/>
                </a:cxn>
                <a:cxn ang="T150">
                  <a:pos x="T84" y="T85"/>
                </a:cxn>
                <a:cxn ang="T151">
                  <a:pos x="T86" y="T87"/>
                </a:cxn>
                <a:cxn ang="T152">
                  <a:pos x="T88" y="T89"/>
                </a:cxn>
                <a:cxn ang="T153">
                  <a:pos x="T90" y="T91"/>
                </a:cxn>
                <a:cxn ang="T154">
                  <a:pos x="T92" y="T93"/>
                </a:cxn>
                <a:cxn ang="T155">
                  <a:pos x="T94" y="T95"/>
                </a:cxn>
                <a:cxn ang="T156">
                  <a:pos x="T96" y="T97"/>
                </a:cxn>
                <a:cxn ang="T157">
                  <a:pos x="T98" y="T99"/>
                </a:cxn>
                <a:cxn ang="T158">
                  <a:pos x="T100" y="T101"/>
                </a:cxn>
                <a:cxn ang="T159">
                  <a:pos x="T102" y="T103"/>
                </a:cxn>
                <a:cxn ang="T160">
                  <a:pos x="T104" y="T105"/>
                </a:cxn>
                <a:cxn ang="T161">
                  <a:pos x="T106" y="T107"/>
                </a:cxn>
              </a:cxnLst>
              <a:rect l="T162" t="T163" r="T164" b="T165"/>
              <a:pathLst>
                <a:path w="785" h="702">
                  <a:moveTo>
                    <a:pt x="390" y="702"/>
                  </a:moveTo>
                  <a:lnTo>
                    <a:pt x="394" y="690"/>
                  </a:lnTo>
                  <a:cubicBezTo>
                    <a:pt x="396" y="688"/>
                    <a:pt x="401" y="688"/>
                    <a:pt x="404" y="687"/>
                  </a:cubicBezTo>
                  <a:cubicBezTo>
                    <a:pt x="407" y="686"/>
                    <a:pt x="408" y="683"/>
                    <a:pt x="411" y="681"/>
                  </a:cubicBezTo>
                  <a:cubicBezTo>
                    <a:pt x="414" y="679"/>
                    <a:pt x="419" y="678"/>
                    <a:pt x="422" y="676"/>
                  </a:cubicBezTo>
                  <a:cubicBezTo>
                    <a:pt x="425" y="674"/>
                    <a:pt x="427" y="672"/>
                    <a:pt x="431" y="670"/>
                  </a:cubicBezTo>
                  <a:cubicBezTo>
                    <a:pt x="435" y="668"/>
                    <a:pt x="441" y="663"/>
                    <a:pt x="445" y="661"/>
                  </a:cubicBezTo>
                  <a:cubicBezTo>
                    <a:pt x="449" y="659"/>
                    <a:pt x="449" y="657"/>
                    <a:pt x="453" y="655"/>
                  </a:cubicBezTo>
                  <a:cubicBezTo>
                    <a:pt x="457" y="653"/>
                    <a:pt x="465" y="648"/>
                    <a:pt x="468" y="646"/>
                  </a:cubicBezTo>
                  <a:cubicBezTo>
                    <a:pt x="471" y="644"/>
                    <a:pt x="471" y="642"/>
                    <a:pt x="474" y="640"/>
                  </a:cubicBezTo>
                  <a:cubicBezTo>
                    <a:pt x="477" y="638"/>
                    <a:pt x="482" y="634"/>
                    <a:pt x="485" y="631"/>
                  </a:cubicBezTo>
                  <a:cubicBezTo>
                    <a:pt x="488" y="628"/>
                    <a:pt x="488" y="626"/>
                    <a:pt x="491" y="624"/>
                  </a:cubicBezTo>
                  <a:cubicBezTo>
                    <a:pt x="494" y="622"/>
                    <a:pt x="498" y="620"/>
                    <a:pt x="501" y="618"/>
                  </a:cubicBezTo>
                  <a:cubicBezTo>
                    <a:pt x="504" y="616"/>
                    <a:pt x="505" y="613"/>
                    <a:pt x="509" y="610"/>
                  </a:cubicBezTo>
                  <a:cubicBezTo>
                    <a:pt x="513" y="607"/>
                    <a:pt x="519" y="601"/>
                    <a:pt x="523" y="598"/>
                  </a:cubicBezTo>
                  <a:cubicBezTo>
                    <a:pt x="527" y="595"/>
                    <a:pt x="531" y="593"/>
                    <a:pt x="534" y="590"/>
                  </a:cubicBezTo>
                  <a:cubicBezTo>
                    <a:pt x="537" y="587"/>
                    <a:pt x="540" y="584"/>
                    <a:pt x="544" y="581"/>
                  </a:cubicBezTo>
                  <a:cubicBezTo>
                    <a:pt x="548" y="578"/>
                    <a:pt x="553" y="573"/>
                    <a:pt x="557" y="569"/>
                  </a:cubicBezTo>
                  <a:cubicBezTo>
                    <a:pt x="561" y="565"/>
                    <a:pt x="563" y="561"/>
                    <a:pt x="566" y="558"/>
                  </a:cubicBezTo>
                  <a:cubicBezTo>
                    <a:pt x="569" y="555"/>
                    <a:pt x="571" y="553"/>
                    <a:pt x="574" y="550"/>
                  </a:cubicBezTo>
                  <a:cubicBezTo>
                    <a:pt x="577" y="547"/>
                    <a:pt x="578" y="544"/>
                    <a:pt x="582" y="540"/>
                  </a:cubicBezTo>
                  <a:cubicBezTo>
                    <a:pt x="586" y="536"/>
                    <a:pt x="594" y="529"/>
                    <a:pt x="597" y="525"/>
                  </a:cubicBezTo>
                  <a:cubicBezTo>
                    <a:pt x="600" y="521"/>
                    <a:pt x="601" y="519"/>
                    <a:pt x="603" y="517"/>
                  </a:cubicBezTo>
                  <a:cubicBezTo>
                    <a:pt x="605" y="515"/>
                    <a:pt x="605" y="512"/>
                    <a:pt x="607" y="509"/>
                  </a:cubicBezTo>
                  <a:cubicBezTo>
                    <a:pt x="609" y="506"/>
                    <a:pt x="613" y="501"/>
                    <a:pt x="616" y="498"/>
                  </a:cubicBezTo>
                  <a:cubicBezTo>
                    <a:pt x="619" y="495"/>
                    <a:pt x="620" y="492"/>
                    <a:pt x="623" y="489"/>
                  </a:cubicBezTo>
                  <a:cubicBezTo>
                    <a:pt x="626" y="486"/>
                    <a:pt x="630" y="484"/>
                    <a:pt x="633" y="480"/>
                  </a:cubicBezTo>
                  <a:cubicBezTo>
                    <a:pt x="636" y="476"/>
                    <a:pt x="639" y="470"/>
                    <a:pt x="642" y="465"/>
                  </a:cubicBezTo>
                  <a:cubicBezTo>
                    <a:pt x="645" y="460"/>
                    <a:pt x="647" y="452"/>
                    <a:pt x="649" y="448"/>
                  </a:cubicBezTo>
                  <a:cubicBezTo>
                    <a:pt x="651" y="444"/>
                    <a:pt x="653" y="445"/>
                    <a:pt x="656" y="441"/>
                  </a:cubicBezTo>
                  <a:cubicBezTo>
                    <a:pt x="659" y="437"/>
                    <a:pt x="666" y="431"/>
                    <a:pt x="670" y="425"/>
                  </a:cubicBezTo>
                  <a:cubicBezTo>
                    <a:pt x="674" y="419"/>
                    <a:pt x="679" y="408"/>
                    <a:pt x="682" y="402"/>
                  </a:cubicBezTo>
                  <a:cubicBezTo>
                    <a:pt x="685" y="396"/>
                    <a:pt x="687" y="391"/>
                    <a:pt x="690" y="387"/>
                  </a:cubicBezTo>
                  <a:cubicBezTo>
                    <a:pt x="693" y="383"/>
                    <a:pt x="695" y="380"/>
                    <a:pt x="697" y="377"/>
                  </a:cubicBezTo>
                  <a:cubicBezTo>
                    <a:pt x="699" y="374"/>
                    <a:pt x="699" y="373"/>
                    <a:pt x="701" y="369"/>
                  </a:cubicBezTo>
                  <a:cubicBezTo>
                    <a:pt x="703" y="365"/>
                    <a:pt x="708" y="359"/>
                    <a:pt x="710" y="354"/>
                  </a:cubicBezTo>
                  <a:cubicBezTo>
                    <a:pt x="712" y="349"/>
                    <a:pt x="714" y="343"/>
                    <a:pt x="716" y="339"/>
                  </a:cubicBezTo>
                  <a:cubicBezTo>
                    <a:pt x="718" y="335"/>
                    <a:pt x="720" y="333"/>
                    <a:pt x="722" y="328"/>
                  </a:cubicBezTo>
                  <a:cubicBezTo>
                    <a:pt x="724" y="323"/>
                    <a:pt x="729" y="314"/>
                    <a:pt x="731" y="308"/>
                  </a:cubicBezTo>
                  <a:cubicBezTo>
                    <a:pt x="733" y="302"/>
                    <a:pt x="736" y="297"/>
                    <a:pt x="737" y="293"/>
                  </a:cubicBezTo>
                  <a:cubicBezTo>
                    <a:pt x="738" y="289"/>
                    <a:pt x="739" y="288"/>
                    <a:pt x="740" y="284"/>
                  </a:cubicBezTo>
                  <a:cubicBezTo>
                    <a:pt x="741" y="280"/>
                    <a:pt x="741" y="276"/>
                    <a:pt x="742" y="271"/>
                  </a:cubicBezTo>
                  <a:cubicBezTo>
                    <a:pt x="743" y="266"/>
                    <a:pt x="747" y="260"/>
                    <a:pt x="749" y="255"/>
                  </a:cubicBezTo>
                  <a:cubicBezTo>
                    <a:pt x="751" y="250"/>
                    <a:pt x="753" y="245"/>
                    <a:pt x="755" y="240"/>
                  </a:cubicBezTo>
                  <a:cubicBezTo>
                    <a:pt x="757" y="235"/>
                    <a:pt x="759" y="230"/>
                    <a:pt x="760" y="225"/>
                  </a:cubicBezTo>
                  <a:cubicBezTo>
                    <a:pt x="761" y="220"/>
                    <a:pt x="762" y="215"/>
                    <a:pt x="763" y="211"/>
                  </a:cubicBezTo>
                  <a:cubicBezTo>
                    <a:pt x="764" y="207"/>
                    <a:pt x="766" y="204"/>
                    <a:pt x="767" y="201"/>
                  </a:cubicBezTo>
                  <a:cubicBezTo>
                    <a:pt x="768" y="198"/>
                    <a:pt x="769" y="194"/>
                    <a:pt x="770" y="190"/>
                  </a:cubicBezTo>
                  <a:cubicBezTo>
                    <a:pt x="771" y="186"/>
                    <a:pt x="771" y="183"/>
                    <a:pt x="771" y="179"/>
                  </a:cubicBezTo>
                  <a:cubicBezTo>
                    <a:pt x="771" y="175"/>
                    <a:pt x="770" y="170"/>
                    <a:pt x="771" y="167"/>
                  </a:cubicBezTo>
                  <a:cubicBezTo>
                    <a:pt x="772" y="164"/>
                    <a:pt x="773" y="162"/>
                    <a:pt x="774" y="159"/>
                  </a:cubicBezTo>
                  <a:cubicBezTo>
                    <a:pt x="775" y="156"/>
                    <a:pt x="776" y="152"/>
                    <a:pt x="777" y="148"/>
                  </a:cubicBezTo>
                  <a:cubicBezTo>
                    <a:pt x="778" y="144"/>
                    <a:pt x="777" y="137"/>
                    <a:pt x="777" y="133"/>
                  </a:cubicBezTo>
                  <a:cubicBezTo>
                    <a:pt x="777" y="129"/>
                    <a:pt x="778" y="125"/>
                    <a:pt x="779" y="121"/>
                  </a:cubicBezTo>
                  <a:cubicBezTo>
                    <a:pt x="780" y="117"/>
                    <a:pt x="785" y="112"/>
                    <a:pt x="784" y="108"/>
                  </a:cubicBezTo>
                  <a:cubicBezTo>
                    <a:pt x="783" y="104"/>
                    <a:pt x="779" y="100"/>
                    <a:pt x="775" y="97"/>
                  </a:cubicBezTo>
                  <a:cubicBezTo>
                    <a:pt x="771" y="94"/>
                    <a:pt x="763" y="91"/>
                    <a:pt x="758" y="89"/>
                  </a:cubicBezTo>
                  <a:cubicBezTo>
                    <a:pt x="753" y="87"/>
                    <a:pt x="750" y="83"/>
                    <a:pt x="747" y="82"/>
                  </a:cubicBezTo>
                  <a:cubicBezTo>
                    <a:pt x="744" y="81"/>
                    <a:pt x="741" y="82"/>
                    <a:pt x="738" y="81"/>
                  </a:cubicBezTo>
                  <a:cubicBezTo>
                    <a:pt x="735" y="80"/>
                    <a:pt x="732" y="77"/>
                    <a:pt x="729" y="75"/>
                  </a:cubicBezTo>
                  <a:cubicBezTo>
                    <a:pt x="726" y="73"/>
                    <a:pt x="721" y="72"/>
                    <a:pt x="716" y="70"/>
                  </a:cubicBezTo>
                  <a:cubicBezTo>
                    <a:pt x="711" y="68"/>
                    <a:pt x="705" y="65"/>
                    <a:pt x="701" y="63"/>
                  </a:cubicBezTo>
                  <a:cubicBezTo>
                    <a:pt x="697" y="61"/>
                    <a:pt x="696" y="61"/>
                    <a:pt x="693" y="60"/>
                  </a:cubicBezTo>
                  <a:cubicBezTo>
                    <a:pt x="690" y="59"/>
                    <a:pt x="686" y="57"/>
                    <a:pt x="682" y="56"/>
                  </a:cubicBezTo>
                  <a:cubicBezTo>
                    <a:pt x="678" y="55"/>
                    <a:pt x="675" y="55"/>
                    <a:pt x="670" y="53"/>
                  </a:cubicBezTo>
                  <a:cubicBezTo>
                    <a:pt x="665" y="51"/>
                    <a:pt x="660" y="48"/>
                    <a:pt x="649" y="44"/>
                  </a:cubicBezTo>
                  <a:cubicBezTo>
                    <a:pt x="638" y="40"/>
                    <a:pt x="614" y="33"/>
                    <a:pt x="601" y="29"/>
                  </a:cubicBezTo>
                  <a:cubicBezTo>
                    <a:pt x="588" y="25"/>
                    <a:pt x="577" y="22"/>
                    <a:pt x="568" y="20"/>
                  </a:cubicBezTo>
                  <a:cubicBezTo>
                    <a:pt x="559" y="18"/>
                    <a:pt x="555" y="17"/>
                    <a:pt x="548" y="16"/>
                  </a:cubicBezTo>
                  <a:cubicBezTo>
                    <a:pt x="541" y="15"/>
                    <a:pt x="534" y="13"/>
                    <a:pt x="526" y="12"/>
                  </a:cubicBezTo>
                  <a:cubicBezTo>
                    <a:pt x="518" y="11"/>
                    <a:pt x="510" y="9"/>
                    <a:pt x="502" y="8"/>
                  </a:cubicBezTo>
                  <a:cubicBezTo>
                    <a:pt x="494" y="7"/>
                    <a:pt x="489" y="6"/>
                    <a:pt x="478" y="5"/>
                  </a:cubicBezTo>
                  <a:cubicBezTo>
                    <a:pt x="467" y="4"/>
                    <a:pt x="446" y="5"/>
                    <a:pt x="435" y="4"/>
                  </a:cubicBezTo>
                  <a:cubicBezTo>
                    <a:pt x="424" y="3"/>
                    <a:pt x="422" y="0"/>
                    <a:pt x="411" y="0"/>
                  </a:cubicBezTo>
                  <a:cubicBezTo>
                    <a:pt x="400" y="0"/>
                    <a:pt x="380" y="0"/>
                    <a:pt x="368" y="1"/>
                  </a:cubicBezTo>
                  <a:cubicBezTo>
                    <a:pt x="356" y="2"/>
                    <a:pt x="346" y="4"/>
                    <a:pt x="339" y="4"/>
                  </a:cubicBezTo>
                  <a:cubicBezTo>
                    <a:pt x="332" y="4"/>
                    <a:pt x="328" y="4"/>
                    <a:pt x="323" y="4"/>
                  </a:cubicBezTo>
                  <a:cubicBezTo>
                    <a:pt x="318" y="4"/>
                    <a:pt x="315" y="4"/>
                    <a:pt x="310" y="4"/>
                  </a:cubicBezTo>
                  <a:cubicBezTo>
                    <a:pt x="305" y="4"/>
                    <a:pt x="300" y="6"/>
                    <a:pt x="295" y="7"/>
                  </a:cubicBezTo>
                  <a:cubicBezTo>
                    <a:pt x="290" y="8"/>
                    <a:pt x="287" y="8"/>
                    <a:pt x="282" y="9"/>
                  </a:cubicBezTo>
                  <a:cubicBezTo>
                    <a:pt x="277" y="10"/>
                    <a:pt x="273" y="10"/>
                    <a:pt x="265" y="12"/>
                  </a:cubicBezTo>
                  <a:cubicBezTo>
                    <a:pt x="257" y="14"/>
                    <a:pt x="246" y="17"/>
                    <a:pt x="236" y="19"/>
                  </a:cubicBezTo>
                  <a:cubicBezTo>
                    <a:pt x="226" y="21"/>
                    <a:pt x="212" y="24"/>
                    <a:pt x="203" y="26"/>
                  </a:cubicBezTo>
                  <a:cubicBezTo>
                    <a:pt x="194" y="28"/>
                    <a:pt x="188" y="32"/>
                    <a:pt x="179" y="34"/>
                  </a:cubicBezTo>
                  <a:cubicBezTo>
                    <a:pt x="170" y="36"/>
                    <a:pt x="160" y="38"/>
                    <a:pt x="151" y="41"/>
                  </a:cubicBezTo>
                  <a:cubicBezTo>
                    <a:pt x="142" y="44"/>
                    <a:pt x="133" y="49"/>
                    <a:pt x="124" y="52"/>
                  </a:cubicBezTo>
                  <a:cubicBezTo>
                    <a:pt x="115" y="55"/>
                    <a:pt x="108" y="56"/>
                    <a:pt x="99" y="60"/>
                  </a:cubicBezTo>
                  <a:cubicBezTo>
                    <a:pt x="90" y="64"/>
                    <a:pt x="79" y="69"/>
                    <a:pt x="70" y="73"/>
                  </a:cubicBezTo>
                  <a:cubicBezTo>
                    <a:pt x="61" y="77"/>
                    <a:pt x="51" y="82"/>
                    <a:pt x="44" y="85"/>
                  </a:cubicBezTo>
                  <a:cubicBezTo>
                    <a:pt x="37" y="88"/>
                    <a:pt x="32" y="90"/>
                    <a:pt x="25" y="94"/>
                  </a:cubicBezTo>
                  <a:cubicBezTo>
                    <a:pt x="18" y="98"/>
                    <a:pt x="6" y="102"/>
                    <a:pt x="3" y="107"/>
                  </a:cubicBezTo>
                  <a:cubicBezTo>
                    <a:pt x="0" y="112"/>
                    <a:pt x="4" y="116"/>
                    <a:pt x="5" y="123"/>
                  </a:cubicBezTo>
                  <a:cubicBezTo>
                    <a:pt x="6" y="130"/>
                    <a:pt x="5" y="139"/>
                    <a:pt x="7" y="149"/>
                  </a:cubicBezTo>
                  <a:cubicBezTo>
                    <a:pt x="9" y="159"/>
                    <a:pt x="15" y="173"/>
                    <a:pt x="17" y="184"/>
                  </a:cubicBezTo>
                  <a:cubicBezTo>
                    <a:pt x="19" y="195"/>
                    <a:pt x="19" y="209"/>
                    <a:pt x="22" y="218"/>
                  </a:cubicBezTo>
                  <a:cubicBezTo>
                    <a:pt x="25" y="227"/>
                    <a:pt x="30" y="232"/>
                    <a:pt x="33" y="240"/>
                  </a:cubicBezTo>
                  <a:cubicBezTo>
                    <a:pt x="36" y="248"/>
                    <a:pt x="37" y="258"/>
                    <a:pt x="40" y="267"/>
                  </a:cubicBezTo>
                  <a:cubicBezTo>
                    <a:pt x="43" y="276"/>
                    <a:pt x="50" y="287"/>
                    <a:pt x="53" y="296"/>
                  </a:cubicBezTo>
                  <a:cubicBezTo>
                    <a:pt x="56" y="305"/>
                    <a:pt x="55" y="311"/>
                    <a:pt x="59" y="321"/>
                  </a:cubicBezTo>
                  <a:cubicBezTo>
                    <a:pt x="63" y="331"/>
                    <a:pt x="72" y="345"/>
                    <a:pt x="77" y="356"/>
                  </a:cubicBezTo>
                  <a:cubicBezTo>
                    <a:pt x="82" y="367"/>
                    <a:pt x="84" y="373"/>
                    <a:pt x="91" y="385"/>
                  </a:cubicBezTo>
                  <a:cubicBezTo>
                    <a:pt x="98" y="397"/>
                    <a:pt x="108" y="415"/>
                    <a:pt x="117" y="430"/>
                  </a:cubicBezTo>
                  <a:cubicBezTo>
                    <a:pt x="126" y="445"/>
                    <a:pt x="136" y="458"/>
                    <a:pt x="147" y="473"/>
                  </a:cubicBezTo>
                  <a:cubicBezTo>
                    <a:pt x="158" y="488"/>
                    <a:pt x="168" y="502"/>
                    <a:pt x="182" y="518"/>
                  </a:cubicBezTo>
                  <a:cubicBezTo>
                    <a:pt x="196" y="534"/>
                    <a:pt x="217" y="554"/>
                    <a:pt x="232" y="569"/>
                  </a:cubicBezTo>
                  <a:cubicBezTo>
                    <a:pt x="247" y="584"/>
                    <a:pt x="261" y="595"/>
                    <a:pt x="275" y="607"/>
                  </a:cubicBezTo>
                  <a:cubicBezTo>
                    <a:pt x="289" y="619"/>
                    <a:pt x="304" y="632"/>
                    <a:pt x="319" y="643"/>
                  </a:cubicBezTo>
                  <a:cubicBezTo>
                    <a:pt x="334" y="654"/>
                    <a:pt x="354" y="664"/>
                    <a:pt x="367" y="672"/>
                  </a:cubicBezTo>
                  <a:cubicBezTo>
                    <a:pt x="380" y="680"/>
                    <a:pt x="390" y="689"/>
                    <a:pt x="395" y="692"/>
                  </a:cubicBezTo>
                </a:path>
              </a:pathLst>
            </a:custGeom>
            <a:solidFill>
              <a:schemeClr val="accent2">
                <a:lumMod val="60000"/>
                <a:lumOff val="40000"/>
                <a:alpha val="50000"/>
              </a:schemeClr>
            </a:solidFill>
            <a:ln w="9525">
              <a:noFill/>
              <a:round/>
              <a:headEnd/>
              <a:tailEnd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</xdr:spPr>
          <xdr:txBody>
            <a:bodyPr wrap="square"/>
            <a:lstStyle>
              <a:defPPr>
                <a:defRPr lang="de-DE"/>
              </a:defPPr>
              <a:lvl1pPr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1pPr>
              <a:lvl2pPr marL="4572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2pPr>
              <a:lvl3pPr marL="9144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3pPr>
              <a:lvl4pPr marL="13716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4pPr>
              <a:lvl5pPr marL="18288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5pPr>
              <a:lvl6pPr marL="22860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6pPr>
              <a:lvl7pPr marL="27432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7pPr>
              <a:lvl8pPr marL="32004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8pPr>
              <a:lvl9pPr marL="36576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9pPr>
            </a:lstStyle>
            <a:p>
              <a:pPr>
                <a:defRPr/>
              </a:pPr>
              <a:endParaRPr lang="de-CH" sz="1000"/>
            </a:p>
          </xdr:txBody>
        </xdr:sp>
        <xdr:sp macro="" textlink="' '!A578">
          <xdr:nvSpPr>
            <xdr:cNvPr id="63" name="Text Box 33">
              <a:hlinkClick xmlns:r="http://schemas.openxmlformats.org/officeDocument/2006/relationships" r:id="rId2" tooltip="Cockpit"/>
              <a:extLst>
                <a:ext uri="{FF2B5EF4-FFF2-40B4-BE49-F238E27FC236}">
                  <a16:creationId xmlns:a16="http://schemas.microsoft.com/office/drawing/2014/main" id="{00000000-0008-0000-0B00-00003F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570196" y="5165162"/>
              <a:ext cx="832036" cy="2546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square" anchor="ctr">
              <a:noAutofit/>
            </a:bodyPr>
            <a:lstStyle>
              <a:defPPr>
                <a:defRPr lang="de-DE"/>
              </a:defPPr>
              <a:lvl1pPr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1pPr>
              <a:lvl2pPr marL="4572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2pPr>
              <a:lvl3pPr marL="9144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3pPr>
              <a:lvl4pPr marL="13716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4pPr>
              <a:lvl5pPr marL="1828800" algn="ctr" rtl="0" fontAlgn="base">
                <a:spcBef>
                  <a:spcPct val="0"/>
                </a:spcBef>
                <a:spcAft>
                  <a:spcPct val="0"/>
                </a:spcAft>
                <a:buFont typeface="Times" pitchFamily="18" charset="0"/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5pPr>
              <a:lvl6pPr marL="22860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6pPr>
              <a:lvl7pPr marL="27432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7pPr>
              <a:lvl8pPr marL="32004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8pPr>
              <a:lvl9pPr marL="3657600" algn="l" defTabSz="914400" rtl="0" eaLnBrk="1" latinLnBrk="0" hangingPunct="1">
                <a:defRPr sz="3200" b="1" kern="1200">
                  <a:solidFill>
                    <a:srgbClr val="000099"/>
                  </a:solidFill>
                  <a:latin typeface="Arial" pitchFamily="34" charset="0"/>
                </a:defRPr>
              </a:lvl9pPr>
            </a:lstStyle>
            <a:p>
              <a:pPr>
                <a:spcBef>
                  <a:spcPts val="0"/>
                </a:spcBef>
              </a:pPr>
              <a:fld id="{AFBB3BFF-B6D5-4320-B012-4568FEB5E717}" type="TxLink">
                <a:rPr lang="en-US" sz="1100" b="1" i="0" u="none" strike="noStrike">
                  <a:solidFill>
                    <a:srgbClr val="000000"/>
                  </a:solidFill>
                  <a:latin typeface="Calibri"/>
                </a:rPr>
                <a:pPr>
                  <a:spcBef>
                    <a:spcPts val="0"/>
                  </a:spcBef>
                </a:pPr>
                <a:t>Führung</a:t>
              </a:fld>
              <a:endParaRPr lang="de-CH" sz="10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64" name="Abgerundetes Rechteck 63">
            <a:extLst>
              <a:ext uri="{FF2B5EF4-FFF2-40B4-BE49-F238E27FC236}">
                <a16:creationId xmlns:a16="http://schemas.microsoft.com/office/drawing/2014/main" id="{00000000-0008-0000-0B00-000040000000}"/>
              </a:ext>
            </a:extLst>
          </xdr:cNvPr>
          <xdr:cNvSpPr/>
        </xdr:nvSpPr>
        <xdr:spPr>
          <a:xfrm>
            <a:off x="2108922" y="7300848"/>
            <a:ext cx="262803" cy="176277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 w="3175">
            <a:noFill/>
          </a:ln>
        </xdr:spPr>
        <xdr:style>
          <a:lnRef idx="2">
            <a:schemeClr val="accent3"/>
          </a:lnRef>
          <a:fillRef idx="1">
            <a:schemeClr val="lt1"/>
          </a:fillRef>
          <a:effectRef idx="0">
            <a:schemeClr val="accent3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r>
              <a:rPr lang="en-US"/>
              <a:t>...</a:t>
            </a:r>
          </a:p>
        </xdr:txBody>
      </xdr:sp>
      <xdr:sp macro="" textlink="">
        <xdr:nvSpPr>
          <xdr:cNvPr id="65" name="Abgerundetes Rechteck 6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B00-000041000000}"/>
              </a:ext>
            </a:extLst>
          </xdr:cNvPr>
          <xdr:cNvSpPr/>
        </xdr:nvSpPr>
        <xdr:spPr>
          <a:xfrm>
            <a:off x="6328497" y="7329423"/>
            <a:ext cx="262803" cy="176277"/>
          </a:xfrm>
          <a:prstGeom prst="roundRect">
            <a:avLst/>
          </a:prstGeom>
          <a:solidFill>
            <a:schemeClr val="accent1">
              <a:lumMod val="60000"/>
              <a:lumOff val="40000"/>
            </a:schemeClr>
          </a:solidFill>
          <a:ln w="3175">
            <a:noFill/>
          </a:ln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lIns="36000" tIns="36000" rIns="36000" bIns="36000" rtlCol="0" anchor="ctr"/>
          <a:lstStyle/>
          <a:p>
            <a:pPr marL="0" indent="0" algn="ctr"/>
            <a:r>
              <a:rPr lang="en-US" sz="1100" b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...</a:t>
            </a:r>
          </a:p>
        </xdr:txBody>
      </xdr:sp>
      <xdr:sp macro="" textlink="">
        <xdr:nvSpPr>
          <xdr:cNvPr id="66" name="Pfeil nach links und rechts 65">
            <a:extLst>
              <a:ext uri="{FF2B5EF4-FFF2-40B4-BE49-F238E27FC236}">
                <a16:creationId xmlns:a16="http://schemas.microsoft.com/office/drawing/2014/main" id="{00000000-0008-0000-0B00-000042000000}"/>
              </a:ext>
            </a:extLst>
          </xdr:cNvPr>
          <xdr:cNvSpPr>
            <a:spLocks/>
          </xdr:cNvSpPr>
        </xdr:nvSpPr>
        <xdr:spPr>
          <a:xfrm>
            <a:off x="3697070" y="3196671"/>
            <a:ext cx="216000" cy="144000"/>
          </a:xfrm>
          <a:prstGeom prst="leftRightArrow">
            <a:avLst/>
          </a:prstGeom>
          <a:noFill/>
          <a:ln w="3175" cap="flat" cmpd="sng" algn="ctr">
            <a:solidFill>
              <a:schemeClr val="accent1">
                <a:lumMod val="75000"/>
              </a:schemeClr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0" tIns="0" rIns="0" bIns="0" numCol="1" rtlCol="0" anchor="t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1" fontAlgn="base" latinLnBrk="0" hangingPunct="1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 typeface="Times" pitchFamily="18" charset="0"/>
              <a:buNone/>
              <a:tabLst/>
            </a:pPr>
            <a:endParaRPr kumimoji="0" lang="de-CH" sz="3200" b="1" i="0" u="none" strike="noStrike" kern="1200" cap="none" normalizeH="0" baseline="0">
              <a:ln>
                <a:noFill/>
              </a:ln>
              <a:solidFill>
                <a:srgbClr val="000099"/>
              </a:solidFill>
              <a:effectLst/>
              <a:latin typeface="Arial" charset="0"/>
              <a:ea typeface="+mn-ea"/>
              <a:cs typeface="+mn-cs"/>
            </a:endParaRPr>
          </a:p>
        </xdr:txBody>
      </xdr:sp>
      <xdr:sp macro="" textlink="">
        <xdr:nvSpPr>
          <xdr:cNvPr id="67" name="Pfeil nach links und rechts 66">
            <a:extLst>
              <a:ext uri="{FF2B5EF4-FFF2-40B4-BE49-F238E27FC236}">
                <a16:creationId xmlns:a16="http://schemas.microsoft.com/office/drawing/2014/main" id="{00000000-0008-0000-0B00-000043000000}"/>
              </a:ext>
            </a:extLst>
          </xdr:cNvPr>
          <xdr:cNvSpPr>
            <a:spLocks/>
          </xdr:cNvSpPr>
        </xdr:nvSpPr>
        <xdr:spPr>
          <a:xfrm>
            <a:off x="4674292" y="3196671"/>
            <a:ext cx="216000" cy="144000"/>
          </a:xfrm>
          <a:prstGeom prst="leftRightArrow">
            <a:avLst/>
          </a:prstGeom>
          <a:noFill/>
          <a:ln w="3175" cap="flat" cmpd="sng" algn="ctr">
            <a:solidFill>
              <a:schemeClr val="accent1">
                <a:lumMod val="75000"/>
              </a:schemeClr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0" tIns="0" rIns="0" bIns="0" numCol="1" rtlCol="0" anchor="t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1" fontAlgn="base" latinLnBrk="0" hangingPunct="1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 typeface="Times" pitchFamily="18" charset="0"/>
              <a:buNone/>
              <a:tabLst/>
            </a:pPr>
            <a:endParaRPr kumimoji="0" lang="de-CH" sz="3200" b="1" i="0" u="none" strike="noStrike" kern="1200" cap="none" normalizeH="0" baseline="0">
              <a:ln>
                <a:noFill/>
              </a:ln>
              <a:solidFill>
                <a:srgbClr val="000099"/>
              </a:solidFill>
              <a:effectLst/>
              <a:latin typeface="Arial" charset="0"/>
              <a:ea typeface="+mn-ea"/>
              <a:cs typeface="+mn-cs"/>
            </a:endParaRPr>
          </a:p>
        </xdr:txBody>
      </xdr:sp>
    </xdr:grpSp>
    <xdr:clientData/>
  </xdr:twoCellAnchor>
  <xdr:twoCellAnchor editAs="oneCell">
    <xdr:from>
      <xdr:col>0</xdr:col>
      <xdr:colOff>66675</xdr:colOff>
      <xdr:row>0</xdr:row>
      <xdr:rowOff>95250</xdr:rowOff>
    </xdr:from>
    <xdr:to>
      <xdr:col>0</xdr:col>
      <xdr:colOff>390675</xdr:colOff>
      <xdr:row>0</xdr:row>
      <xdr:rowOff>420715</xdr:rowOff>
    </xdr:to>
    <xdr:grpSp>
      <xdr:nvGrpSpPr>
        <xdr:cNvPr id="69" name="Gruppieren 6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B00-000045000000}"/>
            </a:ext>
          </a:extLst>
        </xdr:cNvPr>
        <xdr:cNvGrpSpPr/>
      </xdr:nvGrpSpPr>
      <xdr:grpSpPr>
        <a:xfrm>
          <a:off x="66675" y="95250"/>
          <a:ext cx="324000" cy="325465"/>
          <a:chOff x="12729063" y="1298331"/>
          <a:chExt cx="324000" cy="323267"/>
        </a:xfrm>
      </xdr:grpSpPr>
      <xdr:sp macro="" textlink="">
        <xdr:nvSpPr>
          <xdr:cNvPr id="70" name="Rechteck 69">
            <a:extLst>
              <a:ext uri="{FF2B5EF4-FFF2-40B4-BE49-F238E27FC236}">
                <a16:creationId xmlns:a16="http://schemas.microsoft.com/office/drawing/2014/main" id="{00000000-0008-0000-0B00-000046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71" name="Grafik 70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B00-00004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9</xdr:col>
      <xdr:colOff>304800</xdr:colOff>
      <xdr:row>1</xdr:row>
      <xdr:rowOff>57150</xdr:rowOff>
    </xdr:from>
    <xdr:to>
      <xdr:col>9</xdr:col>
      <xdr:colOff>477600</xdr:colOff>
      <xdr:row>1</xdr:row>
      <xdr:rowOff>229950</xdr:rowOff>
    </xdr:to>
    <xdr:grpSp>
      <xdr:nvGrpSpPr>
        <xdr:cNvPr id="72" name="Gruppieren 7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B00-000048000000}"/>
            </a:ext>
          </a:extLst>
        </xdr:cNvPr>
        <xdr:cNvGrpSpPr/>
      </xdr:nvGrpSpPr>
      <xdr:grpSpPr>
        <a:xfrm>
          <a:off x="7063740" y="628650"/>
          <a:ext cx="172800" cy="172800"/>
          <a:chOff x="8105775" y="571500"/>
          <a:chExt cx="172800" cy="172800"/>
        </a:xfrm>
      </xdr:grpSpPr>
      <xdr:sp macro="" textlink="">
        <xdr:nvSpPr>
          <xdr:cNvPr id="73" name="Rechteck 72">
            <a:extLst>
              <a:ext uri="{FF2B5EF4-FFF2-40B4-BE49-F238E27FC236}">
                <a16:creationId xmlns:a16="http://schemas.microsoft.com/office/drawing/2014/main" id="{00000000-0008-0000-0B00-000049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4" name="Textfeld 73">
            <a:extLst>
              <a:ext uri="{FF2B5EF4-FFF2-40B4-BE49-F238E27FC236}">
                <a16:creationId xmlns:a16="http://schemas.microsoft.com/office/drawing/2014/main" id="{00000000-0008-0000-0B00-00004A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0</xdr:row>
          <xdr:rowOff>28575</xdr:rowOff>
        </xdr:from>
        <xdr:to>
          <xdr:col>9</xdr:col>
          <xdr:colOff>493395</xdr:colOff>
          <xdr:row>0</xdr:row>
          <xdr:rowOff>561975</xdr:rowOff>
        </xdr:to>
        <xdr:pic>
          <xdr:nvPicPr>
            <xdr:cNvPr id="75" name="Grafik 59">
              <a:extLst>
                <a:ext uri="{FF2B5EF4-FFF2-40B4-BE49-F238E27FC236}">
                  <a16:creationId xmlns:a16="http://schemas.microsoft.com/office/drawing/2014/main" id="{00000000-0008-0000-0B00-00004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6997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4848225" y="28575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3</xdr:row>
      <xdr:rowOff>9525</xdr:rowOff>
    </xdr:from>
    <xdr:to>
      <xdr:col>0</xdr:col>
      <xdr:colOff>390675</xdr:colOff>
      <xdr:row>3</xdr:row>
      <xdr:rowOff>334990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pSpPr/>
      </xdr:nvGrpSpPr>
      <xdr:grpSpPr>
        <a:xfrm>
          <a:off x="66675" y="885825"/>
          <a:ext cx="324000" cy="325465"/>
          <a:chOff x="12382500" y="2152650"/>
          <a:chExt cx="324000" cy="325465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8</xdr:col>
      <xdr:colOff>287655</xdr:colOff>
      <xdr:row>1</xdr:row>
      <xdr:rowOff>57149</xdr:rowOff>
    </xdr:from>
    <xdr:to>
      <xdr:col>9</xdr:col>
      <xdr:colOff>930</xdr:colOff>
      <xdr:row>2</xdr:row>
      <xdr:rowOff>61889</xdr:rowOff>
    </xdr:to>
    <xdr:grpSp>
      <xdr:nvGrpSpPr>
        <xdr:cNvPr id="5" name="Gruppieren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GrpSpPr>
          <a:grpSpLocks noChangeAspect="1"/>
        </xdr:cNvGrpSpPr>
      </xdr:nvGrpSpPr>
      <xdr:grpSpPr>
        <a:xfrm>
          <a:off x="10521315" y="628649"/>
          <a:ext cx="193335" cy="180000"/>
          <a:chOff x="8105775" y="571500"/>
          <a:chExt cx="172800" cy="172800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0C00-00000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Textfeld 6">
            <a:extLst>
              <a:ext uri="{FF2B5EF4-FFF2-40B4-BE49-F238E27FC236}">
                <a16:creationId xmlns:a16="http://schemas.microsoft.com/office/drawing/2014/main" id="{00000000-0008-0000-0C00-000007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2</xdr:col>
      <xdr:colOff>378283</xdr:colOff>
      <xdr:row>26</xdr:row>
      <xdr:rowOff>37657</xdr:rowOff>
    </xdr:from>
    <xdr:to>
      <xdr:col>4</xdr:col>
      <xdr:colOff>682857</xdr:colOff>
      <xdr:row>36</xdr:row>
      <xdr:rowOff>132157</xdr:rowOff>
    </xdr:to>
    <xdr:sp macro="" textlink="">
      <xdr:nvSpPr>
        <xdr:cNvPr id="8" name="Rechteck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>
          <a:spLocks noChangeAspect="1"/>
        </xdr:cNvSpPr>
      </xdr:nvSpPr>
      <xdr:spPr>
        <a:xfrm>
          <a:off x="1149808" y="7705282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378283</xdr:colOff>
      <xdr:row>36</xdr:row>
      <xdr:rowOff>179307</xdr:rowOff>
    </xdr:from>
    <xdr:to>
      <xdr:col>4</xdr:col>
      <xdr:colOff>682857</xdr:colOff>
      <xdr:row>46</xdr:row>
      <xdr:rowOff>273807</xdr:rowOff>
    </xdr:to>
    <xdr:sp macro="" textlink="">
      <xdr:nvSpPr>
        <xdr:cNvPr id="9" name="Rechteck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>
          <a:spLocks noChangeAspect="1"/>
        </xdr:cNvSpPr>
      </xdr:nvSpPr>
      <xdr:spPr>
        <a:xfrm>
          <a:off x="1149808" y="10704432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715488</xdr:colOff>
      <xdr:row>26</xdr:row>
      <xdr:rowOff>37657</xdr:rowOff>
    </xdr:from>
    <xdr:to>
      <xdr:col>6</xdr:col>
      <xdr:colOff>42348</xdr:colOff>
      <xdr:row>36</xdr:row>
      <xdr:rowOff>132157</xdr:rowOff>
    </xdr:to>
    <xdr:sp macro="" textlink="">
      <xdr:nvSpPr>
        <xdr:cNvPr id="10" name="Rechteck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>
          <a:spLocks noChangeAspect="1"/>
        </xdr:cNvSpPr>
      </xdr:nvSpPr>
      <xdr:spPr>
        <a:xfrm>
          <a:off x="4134963" y="7705282"/>
          <a:ext cx="2955885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715488</xdr:colOff>
      <xdr:row>36</xdr:row>
      <xdr:rowOff>179307</xdr:rowOff>
    </xdr:from>
    <xdr:to>
      <xdr:col>6</xdr:col>
      <xdr:colOff>42348</xdr:colOff>
      <xdr:row>46</xdr:row>
      <xdr:rowOff>273807</xdr:rowOff>
    </xdr:to>
    <xdr:sp macro="" textlink="">
      <xdr:nvSpPr>
        <xdr:cNvPr id="11" name="Rechteck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>
          <a:spLocks noChangeAspect="1"/>
        </xdr:cNvSpPr>
      </xdr:nvSpPr>
      <xdr:spPr>
        <a:xfrm>
          <a:off x="4134963" y="10704432"/>
          <a:ext cx="2955885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0</xdr:col>
      <xdr:colOff>400895</xdr:colOff>
      <xdr:row>26</xdr:row>
      <xdr:rowOff>28575</xdr:rowOff>
    </xdr:from>
    <xdr:to>
      <xdr:col>1</xdr:col>
      <xdr:colOff>276956</xdr:colOff>
      <xdr:row>47</xdr:row>
      <xdr:rowOff>28577</xdr:rowOff>
    </xdr:to>
    <xdr:sp macro="" textlink="' '!A380">
      <xdr:nvSpPr>
        <xdr:cNvPr id="12" name="Textfeld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 txBox="1"/>
      </xdr:nvSpPr>
      <xdr:spPr>
        <a:xfrm rot="16200000">
          <a:off x="-2428088" y="10515658"/>
          <a:ext cx="600075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fld id="{A4AA879E-452A-4A1F-BB83-E5BC17EDCE5F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Einfluss der Stakeholder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314326</xdr:colOff>
      <xdr:row>48</xdr:row>
      <xdr:rowOff>28178</xdr:rowOff>
    </xdr:from>
    <xdr:to>
      <xdr:col>6</xdr:col>
      <xdr:colOff>57151</xdr:colOff>
      <xdr:row>50</xdr:row>
      <xdr:rowOff>75689</xdr:rowOff>
    </xdr:to>
    <xdr:sp macro="" textlink="' '!A383">
      <xdr:nvSpPr>
        <xdr:cNvPr id="13" name="Textfeld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085851" y="13982303"/>
          <a:ext cx="601980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fld id="{AB568988-F718-4F9B-A148-16CBE8BC4C06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Intersse der Stakeholder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130543</xdr:colOff>
      <xdr:row>26</xdr:row>
      <xdr:rowOff>56349</xdr:rowOff>
    </xdr:from>
    <xdr:to>
      <xdr:col>2</xdr:col>
      <xdr:colOff>137239</xdr:colOff>
      <xdr:row>29</xdr:row>
      <xdr:rowOff>266702</xdr:rowOff>
    </xdr:to>
    <xdr:sp macro="" textlink="' '!A378">
      <xdr:nvSpPr>
        <xdr:cNvPr id="14" name="Textfeld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 txBox="1"/>
      </xdr:nvSpPr>
      <xdr:spPr>
        <a:xfrm rot="16200000">
          <a:off x="219214" y="8102028"/>
          <a:ext cx="106760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fld id="{D0F97199-A56F-4F68-9EBA-1F4AF7F1342F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hoch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130542</xdr:colOff>
      <xdr:row>43</xdr:row>
      <xdr:rowOff>133350</xdr:rowOff>
    </xdr:from>
    <xdr:to>
      <xdr:col>2</xdr:col>
      <xdr:colOff>137238</xdr:colOff>
      <xdr:row>47</xdr:row>
      <xdr:rowOff>37884</xdr:rowOff>
    </xdr:to>
    <xdr:sp macro="" textlink="' '!A381">
      <xdr:nvSpPr>
        <xdr:cNvPr id="15" name="Textfeld 1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/>
      </xdr:nvSpPr>
      <xdr:spPr>
        <a:xfrm rot="16200000">
          <a:off x="229248" y="13026744"/>
          <a:ext cx="104753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fld id="{FA956C40-01A9-43EE-9B05-4F3406588709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gering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1828800</xdr:colOff>
      <xdr:row>47</xdr:row>
      <xdr:rowOff>225032</xdr:rowOff>
    </xdr:from>
    <xdr:to>
      <xdr:col>6</xdr:col>
      <xdr:colOff>37219</xdr:colOff>
      <xdr:row>48</xdr:row>
      <xdr:rowOff>250778</xdr:rowOff>
    </xdr:to>
    <xdr:sp macro="" textlink="' '!A379">
      <xdr:nvSpPr>
        <xdr:cNvPr id="16" name="Textfeld 15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 txBox="1"/>
      </xdr:nvSpPr>
      <xdr:spPr>
        <a:xfrm>
          <a:off x="6038850" y="13893407"/>
          <a:ext cx="104686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 algn="ctr"/>
          <a:fld id="{85C45170-6500-4E1D-BACB-C71B14BA1CBB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gross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334985</xdr:colOff>
      <xdr:row>47</xdr:row>
      <xdr:rowOff>225032</xdr:rowOff>
    </xdr:from>
    <xdr:to>
      <xdr:col>2</xdr:col>
      <xdr:colOff>1447800</xdr:colOff>
      <xdr:row>48</xdr:row>
      <xdr:rowOff>250778</xdr:rowOff>
    </xdr:to>
    <xdr:sp macro="" textlink="' '!A382">
      <xdr:nvSpPr>
        <xdr:cNvPr id="17" name="Textfeld 16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 txBox="1"/>
      </xdr:nvSpPr>
      <xdr:spPr>
        <a:xfrm>
          <a:off x="1106510" y="13893407"/>
          <a:ext cx="111281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indent="0"/>
          <a:fld id="{756FD359-713C-4057-932A-63E350E52D1F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/>
            <a:t>klein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66675</xdr:colOff>
      <xdr:row>23</xdr:row>
      <xdr:rowOff>0</xdr:rowOff>
    </xdr:from>
    <xdr:to>
      <xdr:col>0</xdr:col>
      <xdr:colOff>390675</xdr:colOff>
      <xdr:row>24</xdr:row>
      <xdr:rowOff>30190</xdr:rowOff>
    </xdr:to>
    <xdr:grpSp>
      <xdr:nvGrpSpPr>
        <xdr:cNvPr id="66" name="Gruppieren 6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GrpSpPr/>
      </xdr:nvGrpSpPr>
      <xdr:grpSpPr>
        <a:xfrm>
          <a:off x="66675" y="6949440"/>
          <a:ext cx="324000" cy="327370"/>
          <a:chOff x="66675" y="4972050"/>
          <a:chExt cx="324000" cy="325465"/>
        </a:xfrm>
      </xdr:grpSpPr>
      <xdr:sp macro="" textlink="">
        <xdr:nvSpPr>
          <xdr:cNvPr id="67" name="Rechteck 66">
            <a:extLst>
              <a:ext uri="{FF2B5EF4-FFF2-40B4-BE49-F238E27FC236}">
                <a16:creationId xmlns:a16="http://schemas.microsoft.com/office/drawing/2014/main" id="{00000000-0008-0000-0C00-00004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8" name="Pfeil nach oben 67">
            <a:extLst>
              <a:ext uri="{FF2B5EF4-FFF2-40B4-BE49-F238E27FC236}">
                <a16:creationId xmlns:a16="http://schemas.microsoft.com/office/drawing/2014/main" id="{00000000-0008-0000-0C00-00004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46</xdr:row>
      <xdr:rowOff>219075</xdr:rowOff>
    </xdr:from>
    <xdr:to>
      <xdr:col>0</xdr:col>
      <xdr:colOff>390675</xdr:colOff>
      <xdr:row>47</xdr:row>
      <xdr:rowOff>258790</xdr:rowOff>
    </xdr:to>
    <xdr:grpSp>
      <xdr:nvGrpSpPr>
        <xdr:cNvPr id="69" name="Gruppieren 6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GrpSpPr/>
      </xdr:nvGrpSpPr>
      <xdr:grpSpPr>
        <a:xfrm>
          <a:off x="66675" y="13569315"/>
          <a:ext cx="324000" cy="321655"/>
          <a:chOff x="66675" y="4972050"/>
          <a:chExt cx="324000" cy="325465"/>
        </a:xfrm>
      </xdr:grpSpPr>
      <xdr:sp macro="" textlink="">
        <xdr:nvSpPr>
          <xdr:cNvPr id="70" name="Rechteck 69">
            <a:extLst>
              <a:ext uri="{FF2B5EF4-FFF2-40B4-BE49-F238E27FC236}">
                <a16:creationId xmlns:a16="http://schemas.microsoft.com/office/drawing/2014/main" id="{00000000-0008-0000-0C00-00004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1" name="Pfeil nach oben 70">
            <a:extLst>
              <a:ext uri="{FF2B5EF4-FFF2-40B4-BE49-F238E27FC236}">
                <a16:creationId xmlns:a16="http://schemas.microsoft.com/office/drawing/2014/main" id="{00000000-0008-0000-0C00-00004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114300</xdr:rowOff>
    </xdr:from>
    <xdr:to>
      <xdr:col>0</xdr:col>
      <xdr:colOff>390675</xdr:colOff>
      <xdr:row>0</xdr:row>
      <xdr:rowOff>439765</xdr:rowOff>
    </xdr:to>
    <xdr:grpSp>
      <xdr:nvGrpSpPr>
        <xdr:cNvPr id="28" name="Gruppieren 2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GrpSpPr/>
      </xdr:nvGrpSpPr>
      <xdr:grpSpPr>
        <a:xfrm>
          <a:off x="66675" y="114300"/>
          <a:ext cx="324000" cy="325465"/>
          <a:chOff x="12729063" y="1298331"/>
          <a:chExt cx="324000" cy="323267"/>
        </a:xfrm>
      </xdr:grpSpPr>
      <xdr:sp macro="" textlink="">
        <xdr:nvSpPr>
          <xdr:cNvPr id="29" name="Rechteck 28">
            <a:extLst>
              <a:ext uri="{FF2B5EF4-FFF2-40B4-BE49-F238E27FC236}">
                <a16:creationId xmlns:a16="http://schemas.microsoft.com/office/drawing/2014/main" id="{00000000-0008-0000-0C00-00001D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0" name="Grafik 29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C00-00001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</xdr:col>
      <xdr:colOff>136337</xdr:colOff>
      <xdr:row>25</xdr:row>
      <xdr:rowOff>190500</xdr:rowOff>
    </xdr:from>
    <xdr:to>
      <xdr:col>6</xdr:col>
      <xdr:colOff>269503</xdr:colOff>
      <xdr:row>48</xdr:row>
      <xdr:rowOff>38100</xdr:rowOff>
    </xdr:to>
    <xdr:graphicFrame macro="">
      <xdr:nvGraphicFramePr>
        <xdr:cNvPr id="75" name="Diagramm 74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0</xdr:row>
          <xdr:rowOff>19050</xdr:rowOff>
        </xdr:from>
        <xdr:to>
          <xdr:col>10</xdr:col>
          <xdr:colOff>0</xdr:colOff>
          <xdr:row>0</xdr:row>
          <xdr:rowOff>552450</xdr:rowOff>
        </xdr:to>
        <xdr:pic>
          <xdr:nvPicPr>
            <xdr:cNvPr id="31" name="Grafik 59">
              <a:extLst>
                <a:ext uri="{FF2B5EF4-FFF2-40B4-BE49-F238E27FC236}">
                  <a16:creationId xmlns:a16="http://schemas.microsoft.com/office/drawing/2014/main" id="{00000000-0008-0000-0C00-00001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18808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229600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25</xdr:row>
      <xdr:rowOff>28575</xdr:rowOff>
    </xdr:from>
    <xdr:to>
      <xdr:col>6</xdr:col>
      <xdr:colOff>400050</xdr:colOff>
      <xdr:row>54</xdr:row>
      <xdr:rowOff>76200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316230</xdr:colOff>
      <xdr:row>1</xdr:row>
      <xdr:rowOff>57150</xdr:rowOff>
    </xdr:from>
    <xdr:to>
      <xdr:col>6</xdr:col>
      <xdr:colOff>489030</xdr:colOff>
      <xdr:row>2</xdr:row>
      <xdr:rowOff>48975</xdr:rowOff>
    </xdr:to>
    <xdr:grpSp>
      <xdr:nvGrpSpPr>
        <xdr:cNvPr id="3" name="Gruppier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pSpPr/>
      </xdr:nvGrpSpPr>
      <xdr:grpSpPr>
        <a:xfrm>
          <a:off x="8362950" y="628650"/>
          <a:ext cx="172800" cy="167085"/>
          <a:chOff x="8105775" y="571500"/>
          <a:chExt cx="172800" cy="172800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3</xdr:row>
      <xdr:rowOff>0</xdr:rowOff>
    </xdr:from>
    <xdr:to>
      <xdr:col>0</xdr:col>
      <xdr:colOff>400200</xdr:colOff>
      <xdr:row>3</xdr:row>
      <xdr:rowOff>325465</xdr:rowOff>
    </xdr:to>
    <xdr:grpSp>
      <xdr:nvGrpSpPr>
        <xdr:cNvPr id="6" name="Gruppier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pSpPr/>
      </xdr:nvGrpSpPr>
      <xdr:grpSpPr>
        <a:xfrm>
          <a:off x="76200" y="876300"/>
          <a:ext cx="324000" cy="325465"/>
          <a:chOff x="12382500" y="2152650"/>
          <a:chExt cx="324000" cy="325465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D00-000007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8" name="Grafik 7">
            <a:extLst>
              <a:ext uri="{FF2B5EF4-FFF2-40B4-BE49-F238E27FC236}">
                <a16:creationId xmlns:a16="http://schemas.microsoft.com/office/drawing/2014/main" id="{00000000-0008-0000-0D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52</xdr:row>
      <xdr:rowOff>114300</xdr:rowOff>
    </xdr:from>
    <xdr:to>
      <xdr:col>0</xdr:col>
      <xdr:colOff>400200</xdr:colOff>
      <xdr:row>54</xdr:row>
      <xdr:rowOff>58765</xdr:rowOff>
    </xdr:to>
    <xdr:grpSp>
      <xdr:nvGrpSpPr>
        <xdr:cNvPr id="9" name="Gruppieren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GrpSpPr/>
      </xdr:nvGrpSpPr>
      <xdr:grpSpPr>
        <a:xfrm>
          <a:off x="76200" y="12473940"/>
          <a:ext cx="324000" cy="310225"/>
          <a:chOff x="66675" y="4972050"/>
          <a:chExt cx="324000" cy="325465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0D00-00000A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" name="Pfeil nach oben 10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2" name="Gruppieren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0D00-00000D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4" name="Grafik 1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2371725</xdr:colOff>
          <xdr:row>0</xdr:row>
          <xdr:rowOff>19050</xdr:rowOff>
        </xdr:from>
        <xdr:to>
          <xdr:col>6</xdr:col>
          <xdr:colOff>417195</xdr:colOff>
          <xdr:row>0</xdr:row>
          <xdr:rowOff>552450</xdr:rowOff>
        </xdr:to>
        <xdr:pic>
          <xdr:nvPicPr>
            <xdr:cNvPr id="15" name="Grafik 59">
              <a:extLst>
                <a:ext uri="{FF2B5EF4-FFF2-40B4-BE49-F238E27FC236}">
                  <a16:creationId xmlns:a16="http://schemas.microsoft.com/office/drawing/2014/main" id="{00000000-0008-0000-0D00-00000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9045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6019800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25</xdr:row>
      <xdr:rowOff>28575</xdr:rowOff>
    </xdr:from>
    <xdr:to>
      <xdr:col>6</xdr:col>
      <xdr:colOff>400050</xdr:colOff>
      <xdr:row>54</xdr:row>
      <xdr:rowOff>76200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316230</xdr:colOff>
      <xdr:row>1</xdr:row>
      <xdr:rowOff>57150</xdr:rowOff>
    </xdr:from>
    <xdr:to>
      <xdr:col>6</xdr:col>
      <xdr:colOff>489030</xdr:colOff>
      <xdr:row>2</xdr:row>
      <xdr:rowOff>48975</xdr:rowOff>
    </xdr:to>
    <xdr:grpSp>
      <xdr:nvGrpSpPr>
        <xdr:cNvPr id="3" name="Gruppier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pSpPr/>
      </xdr:nvGrpSpPr>
      <xdr:grpSpPr>
        <a:xfrm>
          <a:off x="8362950" y="628650"/>
          <a:ext cx="172800" cy="167085"/>
          <a:chOff x="8105775" y="571500"/>
          <a:chExt cx="172800" cy="172800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0E00-00000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E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3</xdr:row>
      <xdr:rowOff>0</xdr:rowOff>
    </xdr:from>
    <xdr:to>
      <xdr:col>0</xdr:col>
      <xdr:colOff>400200</xdr:colOff>
      <xdr:row>3</xdr:row>
      <xdr:rowOff>325465</xdr:rowOff>
    </xdr:to>
    <xdr:grpSp>
      <xdr:nvGrpSpPr>
        <xdr:cNvPr id="6" name="Gruppier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GrpSpPr/>
      </xdr:nvGrpSpPr>
      <xdr:grpSpPr>
        <a:xfrm>
          <a:off x="76200" y="876300"/>
          <a:ext cx="324000" cy="325465"/>
          <a:chOff x="12382500" y="2152650"/>
          <a:chExt cx="324000" cy="325465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E00-000007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8" name="Grafik 7">
            <a:extLst>
              <a:ext uri="{FF2B5EF4-FFF2-40B4-BE49-F238E27FC236}">
                <a16:creationId xmlns:a16="http://schemas.microsoft.com/office/drawing/2014/main" id="{00000000-0008-0000-0E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52</xdr:row>
      <xdr:rowOff>114300</xdr:rowOff>
    </xdr:from>
    <xdr:to>
      <xdr:col>0</xdr:col>
      <xdr:colOff>400200</xdr:colOff>
      <xdr:row>54</xdr:row>
      <xdr:rowOff>58765</xdr:rowOff>
    </xdr:to>
    <xdr:grpSp>
      <xdr:nvGrpSpPr>
        <xdr:cNvPr id="9" name="Gruppieren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GrpSpPr/>
      </xdr:nvGrpSpPr>
      <xdr:grpSpPr>
        <a:xfrm>
          <a:off x="76200" y="12542520"/>
          <a:ext cx="324000" cy="310225"/>
          <a:chOff x="66675" y="4972050"/>
          <a:chExt cx="324000" cy="325465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0E00-00000A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" name="Pfeil nach oben 10">
            <a:extLst>
              <a:ext uri="{FF2B5EF4-FFF2-40B4-BE49-F238E27FC236}">
                <a16:creationId xmlns:a16="http://schemas.microsoft.com/office/drawing/2014/main" id="{00000000-0008-0000-0E00-00000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2" name="Gruppieren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0E00-00000D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4" name="Grafik 1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E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2362200</xdr:colOff>
          <xdr:row>0</xdr:row>
          <xdr:rowOff>19050</xdr:rowOff>
        </xdr:from>
        <xdr:to>
          <xdr:col>6</xdr:col>
          <xdr:colOff>407670</xdr:colOff>
          <xdr:row>0</xdr:row>
          <xdr:rowOff>552450</xdr:rowOff>
        </xdr:to>
        <xdr:pic>
          <xdr:nvPicPr>
            <xdr:cNvPr id="15" name="Grafik 59">
              <a:extLst>
                <a:ext uri="{FF2B5EF4-FFF2-40B4-BE49-F238E27FC236}">
                  <a16:creationId xmlns:a16="http://schemas.microsoft.com/office/drawing/2014/main" id="{00000000-0008-0000-0E00-00000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30069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601027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2057399</xdr:colOff>
      <xdr:row>3</xdr:row>
      <xdr:rowOff>133350</xdr:rowOff>
    </xdr:from>
    <xdr:to>
      <xdr:col>6</xdr:col>
      <xdr:colOff>2714624</xdr:colOff>
      <xdr:row>6</xdr:row>
      <xdr:rowOff>129184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77222" t="9346" r="10763" b="61371"/>
        <a:stretch/>
      </xdr:blipFill>
      <xdr:spPr bwMode="auto">
        <a:xfrm>
          <a:off x="10915649" y="1171575"/>
          <a:ext cx="657225" cy="643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2105026</xdr:colOff>
      <xdr:row>3</xdr:row>
      <xdr:rowOff>104776</xdr:rowOff>
    </xdr:from>
    <xdr:to>
      <xdr:col>8</xdr:col>
      <xdr:colOff>59055</xdr:colOff>
      <xdr:row>7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3129" t="2492" r="84481" b="63240"/>
        <a:stretch/>
      </xdr:blipFill>
      <xdr:spPr bwMode="auto">
        <a:xfrm>
          <a:off x="13677901" y="1143001"/>
          <a:ext cx="668654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609267</xdr:colOff>
      <xdr:row>3</xdr:row>
      <xdr:rowOff>85725</xdr:rowOff>
    </xdr:from>
    <xdr:to>
      <xdr:col>6</xdr:col>
      <xdr:colOff>105109</xdr:colOff>
      <xdr:row>7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7534" t="5297" r="56446" b="59189"/>
        <a:stretch/>
      </xdr:blipFill>
      <xdr:spPr bwMode="auto">
        <a:xfrm>
          <a:off x="8086392" y="1123950"/>
          <a:ext cx="876967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1962150</xdr:colOff>
      <xdr:row>21</xdr:row>
      <xdr:rowOff>19051</xdr:rowOff>
    </xdr:from>
    <xdr:to>
      <xdr:col>7</xdr:col>
      <xdr:colOff>71269</xdr:colOff>
      <xdr:row>24</xdr:row>
      <xdr:rowOff>11699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52889" t="5919" r="29286" b="58567"/>
        <a:stretch/>
      </xdr:blipFill>
      <xdr:spPr bwMode="auto">
        <a:xfrm>
          <a:off x="10820400" y="4419601"/>
          <a:ext cx="823744" cy="640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466725</xdr:colOff>
      <xdr:row>36</xdr:row>
      <xdr:rowOff>142875</xdr:rowOff>
    </xdr:from>
    <xdr:to>
      <xdr:col>5</xdr:col>
      <xdr:colOff>46500</xdr:colOff>
      <xdr:row>40</xdr:row>
      <xdr:rowOff>76200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81250" t="12592" r="3728" b="53622"/>
        <a:stretch/>
      </xdr:blipFill>
      <xdr:spPr bwMode="auto">
        <a:xfrm>
          <a:off x="6562725" y="7410450"/>
          <a:ext cx="96090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1905000</xdr:colOff>
      <xdr:row>35</xdr:row>
      <xdr:rowOff>152399</xdr:rowOff>
    </xdr:from>
    <xdr:to>
      <xdr:col>7</xdr:col>
      <xdr:colOff>2689292</xdr:colOff>
      <xdr:row>40</xdr:row>
      <xdr:rowOff>68872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083" t="4479" r="85088" b="52214"/>
        <a:stretch/>
      </xdr:blipFill>
      <xdr:spPr bwMode="auto">
        <a:xfrm>
          <a:off x="13477875" y="7229474"/>
          <a:ext cx="784292" cy="9451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1991167</xdr:colOff>
      <xdr:row>20</xdr:row>
      <xdr:rowOff>19050</xdr:rowOff>
    </xdr:from>
    <xdr:to>
      <xdr:col>4</xdr:col>
      <xdr:colOff>28576</xdr:colOff>
      <xdr:row>25</xdr:row>
      <xdr:rowOff>47626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2478" t="8778" r="66009" b="51600"/>
        <a:stretch/>
      </xdr:blipFill>
      <xdr:spPr bwMode="auto">
        <a:xfrm>
          <a:off x="5372542" y="4238625"/>
          <a:ext cx="752034" cy="10572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2038350</xdr:colOff>
      <xdr:row>3</xdr:row>
      <xdr:rowOff>95250</xdr:rowOff>
    </xdr:from>
    <xdr:to>
      <xdr:col>4</xdr:col>
      <xdr:colOff>147458</xdr:colOff>
      <xdr:row>7</xdr:row>
      <xdr:rowOff>95250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42105" t="9828" r="46601" b="57615"/>
        <a:stretch/>
      </xdr:blipFill>
      <xdr:spPr bwMode="auto">
        <a:xfrm>
          <a:off x="5419725" y="1133475"/>
          <a:ext cx="823733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1962150</xdr:colOff>
      <xdr:row>4</xdr:row>
      <xdr:rowOff>38099</xdr:rowOff>
    </xdr:from>
    <xdr:to>
      <xdr:col>3</xdr:col>
      <xdr:colOff>0</xdr:colOff>
      <xdr:row>6</xdr:row>
      <xdr:rowOff>179178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62172" t="13821" r="24451" b="56386"/>
        <a:stretch/>
      </xdr:blipFill>
      <xdr:spPr bwMode="auto">
        <a:xfrm>
          <a:off x="2628900" y="1266824"/>
          <a:ext cx="752475" cy="5982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962025</xdr:colOff>
      <xdr:row>50</xdr:row>
      <xdr:rowOff>180975</xdr:rowOff>
    </xdr:from>
    <xdr:to>
      <xdr:col>8</xdr:col>
      <xdr:colOff>84762</xdr:colOff>
      <xdr:row>52</xdr:row>
      <xdr:rowOff>10225</xdr:rowOff>
    </xdr:to>
    <xdr:sp macro="" textlink="">
      <xdr:nvSpPr>
        <xdr:cNvPr id="11" name="ZoneText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 txBox="1"/>
      </xdr:nvSpPr>
      <xdr:spPr>
        <a:xfrm>
          <a:off x="12534900" y="10410825"/>
          <a:ext cx="1837362" cy="21025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r"/>
          <a:fld id="{03158EC7-72FF-4733-A8EC-ACDE94CA1D43}" type="TxLink">
            <a:rPr lang="fr-CH" sz="800" b="0" u="sng">
              <a:solidFill>
                <a:schemeClr val="tx1">
                  <a:lumMod val="50000"/>
                  <a:lumOff val="50000"/>
                </a:schemeClr>
              </a:solidFill>
            </a:rPr>
            <a:pPr algn="r"/>
            <a:t>Source: Osterwalder&amp;Pigneur</a:t>
          </a:fld>
          <a:endParaRPr lang="fr-CH" sz="800" b="0" u="sng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2</xdr:col>
      <xdr:colOff>0</xdr:colOff>
      <xdr:row>54</xdr:row>
      <xdr:rowOff>142875</xdr:rowOff>
    </xdr:from>
    <xdr:to>
      <xdr:col>8</xdr:col>
      <xdr:colOff>28575</xdr:colOff>
      <xdr:row>70</xdr:row>
      <xdr:rowOff>1742</xdr:rowOff>
    </xdr:to>
    <xdr:grpSp>
      <xdr:nvGrpSpPr>
        <xdr:cNvPr id="12" name="Gruppieren 1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GrpSpPr/>
      </xdr:nvGrpSpPr>
      <xdr:grpSpPr>
        <a:xfrm>
          <a:off x="685800" y="10803255"/>
          <a:ext cx="14018895" cy="2784947"/>
          <a:chOff x="257150" y="9858375"/>
          <a:chExt cx="16214154" cy="2873315"/>
        </a:xfrm>
      </xdr:grpSpPr>
      <xdr:pic>
        <xdr:nvPicPr>
          <xdr:cNvPr id="13" name="Picture 2">
            <a:extLst>
              <a:ext uri="{FF2B5EF4-FFF2-40B4-BE49-F238E27FC236}">
                <a16:creationId xmlns:a16="http://schemas.microsoft.com/office/drawing/2014/main" id="{00000000-0008-0000-0F00-00000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duotone>
              <a:prstClr val="black"/>
              <a:schemeClr val="accent1">
                <a:lumMod val="20000"/>
                <a:lumOff val="80000"/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7150" y="9858375"/>
            <a:ext cx="7314756" cy="287331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pic>
      <xdr:pic>
        <xdr:nvPicPr>
          <xdr:cNvPr id="14" name="Picture 2">
            <a:extLst>
              <a:ext uri="{FF2B5EF4-FFF2-40B4-BE49-F238E27FC236}">
                <a16:creationId xmlns:a16="http://schemas.microsoft.com/office/drawing/2014/main" id="{00000000-0008-0000-0F00-00000E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prstClr val="black"/>
              <a:schemeClr val="accent1">
                <a:lumMod val="20000"/>
                <a:lumOff val="80000"/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222" r="1031" b="2980"/>
          <a:stretch/>
        </xdr:blipFill>
        <xdr:spPr bwMode="auto">
          <a:xfrm>
            <a:off x="7515225" y="9859119"/>
            <a:ext cx="8956079" cy="286702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pic>
    </xdr:grpSp>
    <xdr:clientData/>
  </xdr:twoCellAnchor>
  <xdr:oneCellAnchor>
    <xdr:from>
      <xdr:col>2</xdr:col>
      <xdr:colOff>190501</xdr:colOff>
      <xdr:row>6</xdr:row>
      <xdr:rowOff>38100</xdr:rowOff>
    </xdr:from>
    <xdr:ext cx="914399" cy="672479"/>
    <xdr:sp macro="" textlink="' '!A413">
      <xdr:nvSpPr>
        <xdr:cNvPr id="15" name="Gefaltete Ecke 1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/>
      </xdr:nvSpPr>
      <xdr:spPr>
        <a:xfrm>
          <a:off x="876301" y="1706880"/>
          <a:ext cx="914399" cy="67247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ED605321-6343-4A63-BFD9-21EEE394CB24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Welche Partner und Lieferanten bringen mir einen Mehrwert? 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1676401</xdr:colOff>
      <xdr:row>7</xdr:row>
      <xdr:rowOff>38100</xdr:rowOff>
    </xdr:from>
    <xdr:ext cx="914399" cy="336240"/>
    <xdr:sp macro="" textlink="' '!A415">
      <xdr:nvSpPr>
        <xdr:cNvPr id="16" name="Gefaltete Ecke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/>
      </xdr:nvSpPr>
      <xdr:spPr>
        <a:xfrm>
          <a:off x="2343151" y="1924050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B1F5ADD7-5F33-44FF-8CC6-992BE6B27C7A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Von wem bin ich abhängig?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85726</xdr:colOff>
      <xdr:row>6</xdr:row>
      <xdr:rowOff>95250</xdr:rowOff>
    </xdr:from>
    <xdr:ext cx="914399" cy="504360"/>
    <xdr:sp macro="" textlink="' '!A417">
      <xdr:nvSpPr>
        <xdr:cNvPr id="17" name="Gefaltete Ecke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SpPr/>
      </xdr:nvSpPr>
      <xdr:spPr>
        <a:xfrm>
          <a:off x="3467101" y="1790700"/>
          <a:ext cx="91439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0ECE6927-846E-43CE-829E-464DDCA2C3FE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Welches sind meine Kernaktivitäten? 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1143001</xdr:colOff>
      <xdr:row>6</xdr:row>
      <xdr:rowOff>38100</xdr:rowOff>
    </xdr:from>
    <xdr:ext cx="914399" cy="336240"/>
    <xdr:sp macro="" textlink="' '!A418">
      <xdr:nvSpPr>
        <xdr:cNvPr id="18" name="Gefaltete Ecke 17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SpPr/>
      </xdr:nvSpPr>
      <xdr:spPr>
        <a:xfrm>
          <a:off x="4617721" y="1706880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0DBF5D2F-D3E3-44C1-9EF0-F8BD86F94809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Welche Expertise brauche ich? 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1708786</xdr:colOff>
      <xdr:row>8</xdr:row>
      <xdr:rowOff>81915</xdr:rowOff>
    </xdr:from>
    <xdr:ext cx="914399" cy="336240"/>
    <xdr:sp macro="" textlink="' '!A419">
      <xdr:nvSpPr>
        <xdr:cNvPr id="19" name="Gefaltete Ecke 18"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SpPr/>
      </xdr:nvSpPr>
      <xdr:spPr>
        <a:xfrm>
          <a:off x="5090161" y="2158365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38EAE2C1-3EC8-4C5C-BBAB-B74DE0BC3D49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Was ist unverzichtbar?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4</xdr:col>
      <xdr:colOff>104776</xdr:colOff>
      <xdr:row>6</xdr:row>
      <xdr:rowOff>142875</xdr:rowOff>
    </xdr:from>
    <xdr:ext cx="914399" cy="336240"/>
    <xdr:sp macro="" textlink="' '!A398">
      <xdr:nvSpPr>
        <xdr:cNvPr id="20" name="Gefaltete Ecke 19">
          <a:extLst>
            <a:ext uri="{FF2B5EF4-FFF2-40B4-BE49-F238E27FC236}">
              <a16:creationId xmlns:a16="http://schemas.microsoft.com/office/drawing/2014/main" id="{00000000-0008-0000-0F00-000014000000}"/>
            </a:ext>
          </a:extLst>
        </xdr:cNvPr>
        <xdr:cNvSpPr/>
      </xdr:nvSpPr>
      <xdr:spPr>
        <a:xfrm>
          <a:off x="6200776" y="1838325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9FF837A6-4F5B-4482-9A39-BF29EDC17838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Was bieten Sie den Kunden an? 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4</xdr:col>
      <xdr:colOff>638176</xdr:colOff>
      <xdr:row>8</xdr:row>
      <xdr:rowOff>123825</xdr:rowOff>
    </xdr:from>
    <xdr:ext cx="914399" cy="504360"/>
    <xdr:sp macro="" textlink="' '!A399">
      <xdr:nvSpPr>
        <xdr:cNvPr id="21" name="Gefaltete Ecke 20">
          <a:extLst>
            <a:ext uri="{FF2B5EF4-FFF2-40B4-BE49-F238E27FC236}">
              <a16:creationId xmlns:a16="http://schemas.microsoft.com/office/drawing/2014/main" id="{00000000-0008-0000-0F00-000015000000}"/>
            </a:ext>
          </a:extLst>
        </xdr:cNvPr>
        <xdr:cNvSpPr/>
      </xdr:nvSpPr>
      <xdr:spPr>
        <a:xfrm>
          <a:off x="6901816" y="2158365"/>
          <a:ext cx="91439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8D772EC6-106E-4021-A9F0-BD4D7F880595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Welche Produkte wünschen sie wirklich?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5</xdr:col>
      <xdr:colOff>285751</xdr:colOff>
      <xdr:row>7</xdr:row>
      <xdr:rowOff>133349</xdr:rowOff>
    </xdr:from>
    <xdr:ext cx="1000124" cy="336240"/>
    <xdr:sp macro="" textlink="' '!A400">
      <xdr:nvSpPr>
        <xdr:cNvPr id="22" name="Gefaltete Ecke 21">
          <a:extLst>
            <a:ext uri="{FF2B5EF4-FFF2-40B4-BE49-F238E27FC236}">
              <a16:creationId xmlns:a16="http://schemas.microsoft.com/office/drawing/2014/main" id="{00000000-0008-0000-0F00-000016000000}"/>
            </a:ext>
          </a:extLst>
        </xdr:cNvPr>
        <xdr:cNvSpPr/>
      </xdr:nvSpPr>
      <xdr:spPr>
        <a:xfrm>
          <a:off x="7966711" y="1985009"/>
          <a:ext cx="1000124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7E8BB26D-79B6-4DCE-BA43-88D56A96D1B7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Sind sie interessiert?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66676</xdr:colOff>
      <xdr:row>23</xdr:row>
      <xdr:rowOff>85725</xdr:rowOff>
    </xdr:from>
    <xdr:ext cx="971549" cy="504360"/>
    <xdr:sp macro="" textlink="' '!A410">
      <xdr:nvSpPr>
        <xdr:cNvPr id="23" name="Gefaltete Ecke 22">
          <a:extLst>
            <a:ext uri="{FF2B5EF4-FFF2-40B4-BE49-F238E27FC236}">
              <a16:creationId xmlns:a16="http://schemas.microsoft.com/office/drawing/2014/main" id="{00000000-0008-0000-0F00-000017000000}"/>
            </a:ext>
          </a:extLst>
        </xdr:cNvPr>
        <xdr:cNvSpPr/>
      </xdr:nvSpPr>
      <xdr:spPr>
        <a:xfrm>
          <a:off x="3448051" y="5095875"/>
          <a:ext cx="97154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769AF647-8CB8-4DA3-8565-5199C9CA2FA8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Welche Kernkompetenzen sind nötig?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1809751</xdr:colOff>
      <xdr:row>25</xdr:row>
      <xdr:rowOff>9525</xdr:rowOff>
    </xdr:from>
    <xdr:ext cx="914399" cy="504360"/>
    <xdr:sp macro="" textlink="' '!A411">
      <xdr:nvSpPr>
        <xdr:cNvPr id="24" name="Gefaltete Ecke 23">
          <a:extLst>
            <a:ext uri="{FF2B5EF4-FFF2-40B4-BE49-F238E27FC236}">
              <a16:creationId xmlns:a16="http://schemas.microsoft.com/office/drawing/2014/main" id="{00000000-0008-0000-0F00-000018000000}"/>
            </a:ext>
          </a:extLst>
        </xdr:cNvPr>
        <xdr:cNvSpPr/>
      </xdr:nvSpPr>
      <xdr:spPr>
        <a:xfrm>
          <a:off x="5191126" y="5400675"/>
          <a:ext cx="91439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B80BB15D-DE7E-4F74-AFEA-D4740FB1CF5B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Welche Ressourcen sind unbedingt nötig?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1143001</xdr:colOff>
      <xdr:row>23</xdr:row>
      <xdr:rowOff>47625</xdr:rowOff>
    </xdr:from>
    <xdr:ext cx="914399" cy="336240"/>
    <xdr:sp macro="" textlink="' '!A412">
      <xdr:nvSpPr>
        <xdr:cNvPr id="25" name="Gefaltete Ecke 24">
          <a:extLst>
            <a:ext uri="{FF2B5EF4-FFF2-40B4-BE49-F238E27FC236}">
              <a16:creationId xmlns:a16="http://schemas.microsoft.com/office/drawing/2014/main" id="{00000000-0008-0000-0F00-000019000000}"/>
            </a:ext>
          </a:extLst>
        </xdr:cNvPr>
        <xdr:cNvSpPr/>
      </xdr:nvSpPr>
      <xdr:spPr>
        <a:xfrm>
          <a:off x="4524376" y="5057775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BC04838A-D532-4318-B60D-76B52C5A2E54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Welche Trümpfe habe ich?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6</xdr:col>
      <xdr:colOff>104776</xdr:colOff>
      <xdr:row>6</xdr:row>
      <xdr:rowOff>57149</xdr:rowOff>
    </xdr:from>
    <xdr:ext cx="1323974" cy="1008719"/>
    <xdr:sp macro="" textlink="' '!A401">
      <xdr:nvSpPr>
        <xdr:cNvPr id="26" name="Gefaltete Ecke 25">
          <a:extLst>
            <a:ext uri="{FF2B5EF4-FFF2-40B4-BE49-F238E27FC236}">
              <a16:creationId xmlns:a16="http://schemas.microsoft.com/office/drawing/2014/main" id="{00000000-0008-0000-0F00-00001A000000}"/>
            </a:ext>
          </a:extLst>
        </xdr:cNvPr>
        <xdr:cNvSpPr/>
      </xdr:nvSpPr>
      <xdr:spPr>
        <a:xfrm>
          <a:off x="9203056" y="1725929"/>
          <a:ext cx="1323974" cy="100871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DCB9CAE7-AC08-4D30-86EF-8B041013AF6A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Welche Beziehungen bauen Sie mit den einzelnen Kundensegmenten auf? persönlich? virtuell? zurückhaltend? etc.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6</xdr:col>
      <xdr:colOff>1495426</xdr:colOff>
      <xdr:row>7</xdr:row>
      <xdr:rowOff>0</xdr:rowOff>
    </xdr:from>
    <xdr:ext cx="1000124" cy="336240"/>
    <xdr:sp macro="" textlink="' '!A404">
      <xdr:nvSpPr>
        <xdr:cNvPr id="27" name="Gefaltete Ecke 26">
          <a:extLst>
            <a:ext uri="{FF2B5EF4-FFF2-40B4-BE49-F238E27FC236}">
              <a16:creationId xmlns:a16="http://schemas.microsoft.com/office/drawing/2014/main" id="{00000000-0008-0000-0F00-00001B000000}"/>
            </a:ext>
          </a:extLst>
        </xdr:cNvPr>
        <xdr:cNvSpPr/>
      </xdr:nvSpPr>
      <xdr:spPr>
        <a:xfrm>
          <a:off x="10353676" y="1885950"/>
          <a:ext cx="1000124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9DE0D156-E4A6-4B9F-A8C8-7569F714AF48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Wie erreichen Sie den Kunden?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6</xdr:col>
      <xdr:colOff>66676</xdr:colOff>
      <xdr:row>23</xdr:row>
      <xdr:rowOff>38099</xdr:rowOff>
    </xdr:from>
    <xdr:ext cx="914399" cy="504360"/>
    <xdr:sp macro="" textlink="' '!A408">
      <xdr:nvSpPr>
        <xdr:cNvPr id="28" name="Gefaltete Ecke 27">
          <a:extLst>
            <a:ext uri="{FF2B5EF4-FFF2-40B4-BE49-F238E27FC236}">
              <a16:creationId xmlns:a16="http://schemas.microsoft.com/office/drawing/2014/main" id="{00000000-0008-0000-0F00-00001C000000}"/>
            </a:ext>
          </a:extLst>
        </xdr:cNvPr>
        <xdr:cNvSpPr/>
      </xdr:nvSpPr>
      <xdr:spPr>
        <a:xfrm>
          <a:off x="9164956" y="4899659"/>
          <a:ext cx="91439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03ADA997-0C14-4575-B930-04BA28EB8942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Wie möchten die Kunden beliefert werden? 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6</xdr:col>
      <xdr:colOff>1104901</xdr:colOff>
      <xdr:row>23</xdr:row>
      <xdr:rowOff>133350</xdr:rowOff>
    </xdr:from>
    <xdr:ext cx="1104899" cy="336240"/>
    <xdr:sp macro="" textlink="' '!A409">
      <xdr:nvSpPr>
        <xdr:cNvPr id="29" name="Gefaltete Ecke 28">
          <a:extLst>
            <a:ext uri="{FF2B5EF4-FFF2-40B4-BE49-F238E27FC236}">
              <a16:creationId xmlns:a16="http://schemas.microsoft.com/office/drawing/2014/main" id="{00000000-0008-0000-0F00-00001D000000}"/>
            </a:ext>
          </a:extLst>
        </xdr:cNvPr>
        <xdr:cNvSpPr/>
      </xdr:nvSpPr>
      <xdr:spPr>
        <a:xfrm>
          <a:off x="9963151" y="5143500"/>
          <a:ext cx="11048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B91006A9-F486-46FF-AB74-8E90E8F03696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Welche Distributionskanäle?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7</xdr:col>
      <xdr:colOff>85726</xdr:colOff>
      <xdr:row>6</xdr:row>
      <xdr:rowOff>104774</xdr:rowOff>
    </xdr:from>
    <xdr:ext cx="914399" cy="504360"/>
    <xdr:sp macro="" textlink="' '!A408">
      <xdr:nvSpPr>
        <xdr:cNvPr id="30" name="Gefaltete Ecke 29">
          <a:extLst>
            <a:ext uri="{FF2B5EF4-FFF2-40B4-BE49-F238E27FC236}">
              <a16:creationId xmlns:a16="http://schemas.microsoft.com/office/drawing/2014/main" id="{00000000-0008-0000-0F00-00001E000000}"/>
            </a:ext>
          </a:extLst>
        </xdr:cNvPr>
        <xdr:cNvSpPr/>
      </xdr:nvSpPr>
      <xdr:spPr>
        <a:xfrm>
          <a:off x="11972926" y="1773554"/>
          <a:ext cx="91439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C438FF7E-5B49-47BB-ADF0-51A12D04977B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Wie möchten die Kunden beliefert werden? 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7</xdr:col>
      <xdr:colOff>1266826</xdr:colOff>
      <xdr:row>6</xdr:row>
      <xdr:rowOff>57149</xdr:rowOff>
    </xdr:from>
    <xdr:ext cx="914399" cy="336240"/>
    <xdr:sp macro="" textlink="' '!A406">
      <xdr:nvSpPr>
        <xdr:cNvPr id="31" name="Gefaltete Ecke 30">
          <a:extLst>
            <a:ext uri="{FF2B5EF4-FFF2-40B4-BE49-F238E27FC236}">
              <a16:creationId xmlns:a16="http://schemas.microsoft.com/office/drawing/2014/main" id="{00000000-0008-0000-0F00-00001F000000}"/>
            </a:ext>
          </a:extLst>
        </xdr:cNvPr>
        <xdr:cNvSpPr/>
      </xdr:nvSpPr>
      <xdr:spPr>
        <a:xfrm>
          <a:off x="12839701" y="1752599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7699F603-7C18-42BC-A59D-2B383F4981B9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Was sind ihre Bedürfnisse?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123826</xdr:colOff>
      <xdr:row>39</xdr:row>
      <xdr:rowOff>161923</xdr:rowOff>
    </xdr:from>
    <xdr:ext cx="1114424" cy="840600"/>
    <xdr:sp macro="" textlink="' '!A416">
      <xdr:nvSpPr>
        <xdr:cNvPr id="33" name="Gefaltete Ecke 32">
          <a:extLst>
            <a:ext uri="{FF2B5EF4-FFF2-40B4-BE49-F238E27FC236}">
              <a16:creationId xmlns:a16="http://schemas.microsoft.com/office/drawing/2014/main" id="{00000000-0008-0000-0F00-000021000000}"/>
            </a:ext>
          </a:extLst>
        </xdr:cNvPr>
        <xdr:cNvSpPr/>
      </xdr:nvSpPr>
      <xdr:spPr>
        <a:xfrm>
          <a:off x="790576" y="8296273"/>
          <a:ext cx="1114424" cy="84060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CDEF1CD7-8BBC-4123-92BB-B82547E225C1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Was ist die Kostenstruktur? Welche Kernelemente verursachen die höchsten Kosten?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228601</xdr:colOff>
      <xdr:row>11</xdr:row>
      <xdr:rowOff>171450</xdr:rowOff>
    </xdr:from>
    <xdr:ext cx="933449" cy="168120"/>
    <xdr:sp macro="" textlink="" fLocksText="0">
      <xdr:nvSpPr>
        <xdr:cNvPr id="77" name="Gefaltete Ecke 76">
          <a:extLst>
            <a:ext uri="{FF2B5EF4-FFF2-40B4-BE49-F238E27FC236}">
              <a16:creationId xmlns:a16="http://schemas.microsoft.com/office/drawing/2014/main" id="{00000000-0008-0000-0F00-00004D000000}"/>
            </a:ext>
          </a:extLst>
        </xdr:cNvPr>
        <xdr:cNvSpPr/>
      </xdr:nvSpPr>
      <xdr:spPr>
        <a:xfrm>
          <a:off x="895351" y="28194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twoCellAnchor editAs="oneCell">
    <xdr:from>
      <xdr:col>7</xdr:col>
      <xdr:colOff>2585085</xdr:colOff>
      <xdr:row>1</xdr:row>
      <xdr:rowOff>57150</xdr:rowOff>
    </xdr:from>
    <xdr:to>
      <xdr:col>7</xdr:col>
      <xdr:colOff>2710260</xdr:colOff>
      <xdr:row>1</xdr:row>
      <xdr:rowOff>229950</xdr:rowOff>
    </xdr:to>
    <xdr:grpSp>
      <xdr:nvGrpSpPr>
        <xdr:cNvPr id="173" name="Gruppieren 17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F00-0000AD000000}"/>
            </a:ext>
          </a:extLst>
        </xdr:cNvPr>
        <xdr:cNvGrpSpPr/>
      </xdr:nvGrpSpPr>
      <xdr:grpSpPr>
        <a:xfrm>
          <a:off x="14472285" y="628650"/>
          <a:ext cx="125175" cy="172800"/>
          <a:chOff x="8105775" y="571500"/>
          <a:chExt cx="172800" cy="172800"/>
        </a:xfrm>
      </xdr:grpSpPr>
      <xdr:sp macro="" textlink="">
        <xdr:nvSpPr>
          <xdr:cNvPr id="174" name="Rechteck 173">
            <a:extLst>
              <a:ext uri="{FF2B5EF4-FFF2-40B4-BE49-F238E27FC236}">
                <a16:creationId xmlns:a16="http://schemas.microsoft.com/office/drawing/2014/main" id="{00000000-0008-0000-0F00-0000A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5" name="Textfeld 174">
            <a:extLst>
              <a:ext uri="{FF2B5EF4-FFF2-40B4-BE49-F238E27FC236}">
                <a16:creationId xmlns:a16="http://schemas.microsoft.com/office/drawing/2014/main" id="{00000000-0008-0000-0F00-0000A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5</xdr:row>
      <xdr:rowOff>0</xdr:rowOff>
    </xdr:from>
    <xdr:to>
      <xdr:col>0</xdr:col>
      <xdr:colOff>400200</xdr:colOff>
      <xdr:row>6</xdr:row>
      <xdr:rowOff>58765</xdr:rowOff>
    </xdr:to>
    <xdr:grpSp>
      <xdr:nvGrpSpPr>
        <xdr:cNvPr id="206" name="Gruppieren 20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F00-0000CE000000}"/>
            </a:ext>
          </a:extLst>
        </xdr:cNvPr>
        <xdr:cNvGrpSpPr/>
      </xdr:nvGrpSpPr>
      <xdr:grpSpPr>
        <a:xfrm>
          <a:off x="76200" y="1440180"/>
          <a:ext cx="324000" cy="325465"/>
          <a:chOff x="12020550" y="2171700"/>
          <a:chExt cx="324000" cy="325465"/>
        </a:xfrm>
      </xdr:grpSpPr>
      <xdr:sp macro="" textlink="">
        <xdr:nvSpPr>
          <xdr:cNvPr id="207" name="Rechteck 206">
            <a:extLst>
              <a:ext uri="{FF2B5EF4-FFF2-40B4-BE49-F238E27FC236}">
                <a16:creationId xmlns:a16="http://schemas.microsoft.com/office/drawing/2014/main" id="{00000000-0008-0000-0F00-0000CF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8" name="Pfeil nach rechts 207">
            <a:extLst>
              <a:ext uri="{FF2B5EF4-FFF2-40B4-BE49-F238E27FC236}">
                <a16:creationId xmlns:a16="http://schemas.microsoft.com/office/drawing/2014/main" id="{00000000-0008-0000-0F00-0000D0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76200</xdr:colOff>
      <xdr:row>6</xdr:row>
      <xdr:rowOff>66675</xdr:rowOff>
    </xdr:from>
    <xdr:ext cx="216000" cy="156518"/>
    <xdr:sp macro="" textlink="">
      <xdr:nvSpPr>
        <xdr:cNvPr id="209" name="Textfeld 208">
          <a:extLst>
            <a:ext uri="{FF2B5EF4-FFF2-40B4-BE49-F238E27FC236}">
              <a16:creationId xmlns:a16="http://schemas.microsoft.com/office/drawing/2014/main" id="{00000000-0008-0000-0F00-0000D1000000}"/>
            </a:ext>
          </a:extLst>
        </xdr:cNvPr>
        <xdr:cNvSpPr txBox="1"/>
      </xdr:nvSpPr>
      <xdr:spPr>
        <a:xfrm>
          <a:off x="76200" y="1752600"/>
          <a:ext cx="216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4BACCC3A-D8DD-4557-B63C-F06A3F0E2CC6}" type="TxLink">
            <a:rPr lang="de-CH" sz="1000" b="1">
              <a:solidFill>
                <a:srgbClr val="FF0000"/>
              </a:solidFill>
            </a:rPr>
            <a:pPr algn="ctr"/>
            <a:t>SW</a:t>
          </a:fld>
          <a:endParaRPr lang="de-CH" sz="1000" b="1">
            <a:solidFill>
              <a:srgbClr val="FF0000"/>
            </a:solidFill>
          </a:endParaRPr>
        </a:p>
      </xdr:txBody>
    </xdr:sp>
    <xdr:clientData/>
  </xdr:oneCellAnchor>
  <xdr:twoCellAnchor editAs="oneCell">
    <xdr:from>
      <xdr:col>0</xdr:col>
      <xdr:colOff>76200</xdr:colOff>
      <xdr:row>7</xdr:row>
      <xdr:rowOff>171450</xdr:rowOff>
    </xdr:from>
    <xdr:to>
      <xdr:col>0</xdr:col>
      <xdr:colOff>400200</xdr:colOff>
      <xdr:row>9</xdr:row>
      <xdr:rowOff>96865</xdr:rowOff>
    </xdr:to>
    <xdr:grpSp>
      <xdr:nvGrpSpPr>
        <xdr:cNvPr id="210" name="Gruppieren 20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F00-0000D2000000}"/>
            </a:ext>
          </a:extLst>
        </xdr:cNvPr>
        <xdr:cNvGrpSpPr/>
      </xdr:nvGrpSpPr>
      <xdr:grpSpPr>
        <a:xfrm>
          <a:off x="76200" y="2061210"/>
          <a:ext cx="324000" cy="291175"/>
          <a:chOff x="12020550" y="2171700"/>
          <a:chExt cx="324000" cy="325465"/>
        </a:xfrm>
      </xdr:grpSpPr>
      <xdr:sp macro="" textlink="">
        <xdr:nvSpPr>
          <xdr:cNvPr id="211" name="Rechteck 210">
            <a:extLst>
              <a:ext uri="{FF2B5EF4-FFF2-40B4-BE49-F238E27FC236}">
                <a16:creationId xmlns:a16="http://schemas.microsoft.com/office/drawing/2014/main" id="{00000000-0008-0000-0F00-0000D3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2" name="Pfeil nach rechts 211">
            <a:extLst>
              <a:ext uri="{FF2B5EF4-FFF2-40B4-BE49-F238E27FC236}">
                <a16:creationId xmlns:a16="http://schemas.microsoft.com/office/drawing/2014/main" id="{00000000-0008-0000-0F00-0000D4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238125</xdr:colOff>
      <xdr:row>9</xdr:row>
      <xdr:rowOff>123825</xdr:rowOff>
    </xdr:from>
    <xdr:ext cx="180000" cy="156518"/>
    <xdr:sp macro="" textlink="">
      <xdr:nvSpPr>
        <xdr:cNvPr id="213" name="Textfeld 212">
          <a:extLst>
            <a:ext uri="{FF2B5EF4-FFF2-40B4-BE49-F238E27FC236}">
              <a16:creationId xmlns:a16="http://schemas.microsoft.com/office/drawing/2014/main" id="{00000000-0008-0000-0F00-0000D5000000}"/>
            </a:ext>
          </a:extLst>
        </xdr:cNvPr>
        <xdr:cNvSpPr txBox="1"/>
      </xdr:nvSpPr>
      <xdr:spPr>
        <a:xfrm>
          <a:off x="238125" y="2352675"/>
          <a:ext cx="180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72E8A6E1-B832-40AD-A707-4B1C9342A0D9}" type="TxLink">
            <a:rPr lang="de-CH" sz="1000" b="1">
              <a:solidFill>
                <a:srgbClr val="FF0000"/>
              </a:solidFill>
            </a:rPr>
            <a:pPr algn="ctr"/>
            <a:t>OT</a:t>
          </a:fld>
          <a:endParaRPr lang="de-CH" sz="1000" b="1">
            <a:solidFill>
              <a:srgbClr val="FF0000"/>
            </a:solidFill>
          </a:endParaRPr>
        </a:p>
      </xdr:txBody>
    </xdr:sp>
    <xdr:clientData/>
  </xdr:oneCellAnchor>
  <xdr:oneCellAnchor>
    <xdr:from>
      <xdr:col>0</xdr:col>
      <xdr:colOff>257175</xdr:colOff>
      <xdr:row>6</xdr:row>
      <xdr:rowOff>66675</xdr:rowOff>
    </xdr:from>
    <xdr:ext cx="180000" cy="156518"/>
    <xdr:sp macro="" textlink="">
      <xdr:nvSpPr>
        <xdr:cNvPr id="214" name="Textfeld 213">
          <a:extLst>
            <a:ext uri="{FF2B5EF4-FFF2-40B4-BE49-F238E27FC236}">
              <a16:creationId xmlns:a16="http://schemas.microsoft.com/office/drawing/2014/main" id="{00000000-0008-0000-0F00-0000D6000000}"/>
            </a:ext>
          </a:extLst>
        </xdr:cNvPr>
        <xdr:cNvSpPr txBox="1"/>
      </xdr:nvSpPr>
      <xdr:spPr>
        <a:xfrm>
          <a:off x="257175" y="1752600"/>
          <a:ext cx="180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72E8A6E1-B832-40AD-A707-4B1C9342A0D9}" type="TxLink">
            <a:rPr lang="de-CH" sz="1000" b="0">
              <a:solidFill>
                <a:schemeClr val="tx1">
                  <a:lumMod val="50000"/>
                  <a:lumOff val="50000"/>
                </a:schemeClr>
              </a:solidFill>
            </a:rPr>
            <a:pPr algn="ctr"/>
            <a:t>OT</a:t>
          </a:fld>
          <a:endParaRPr lang="de-CH" sz="10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0</xdr:col>
      <xdr:colOff>57150</xdr:colOff>
      <xdr:row>9</xdr:row>
      <xdr:rowOff>123825</xdr:rowOff>
    </xdr:from>
    <xdr:ext cx="216000" cy="156518"/>
    <xdr:sp macro="" textlink="">
      <xdr:nvSpPr>
        <xdr:cNvPr id="215" name="Textfeld 214">
          <a:extLst>
            <a:ext uri="{FF2B5EF4-FFF2-40B4-BE49-F238E27FC236}">
              <a16:creationId xmlns:a16="http://schemas.microsoft.com/office/drawing/2014/main" id="{00000000-0008-0000-0F00-0000D7000000}"/>
            </a:ext>
          </a:extLst>
        </xdr:cNvPr>
        <xdr:cNvSpPr txBox="1"/>
      </xdr:nvSpPr>
      <xdr:spPr>
        <a:xfrm>
          <a:off x="57150" y="2352675"/>
          <a:ext cx="216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4BACCC3A-D8DD-4557-B63C-F06A3F0E2CC6}" type="TxLink">
            <a:rPr lang="de-CH" sz="1000" b="0">
              <a:solidFill>
                <a:schemeClr val="tx1">
                  <a:lumMod val="50000"/>
                  <a:lumOff val="50000"/>
                </a:schemeClr>
              </a:solidFill>
            </a:rPr>
            <a:pPr algn="ctr"/>
            <a:t>SW</a:t>
          </a:fld>
          <a:endParaRPr lang="de-CH" sz="10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5</xdr:col>
      <xdr:colOff>238126</xdr:colOff>
      <xdr:row>39</xdr:row>
      <xdr:rowOff>133348</xdr:rowOff>
    </xdr:from>
    <xdr:ext cx="1114424" cy="1008719"/>
    <xdr:sp macro="" textlink="' '!A407">
      <xdr:nvSpPr>
        <xdr:cNvPr id="255" name="Gefaltete Ecke 254">
          <a:extLst>
            <a:ext uri="{FF2B5EF4-FFF2-40B4-BE49-F238E27FC236}">
              <a16:creationId xmlns:a16="http://schemas.microsoft.com/office/drawing/2014/main" id="{00000000-0008-0000-0F00-0000FF000000}"/>
            </a:ext>
          </a:extLst>
        </xdr:cNvPr>
        <xdr:cNvSpPr/>
      </xdr:nvSpPr>
      <xdr:spPr>
        <a:xfrm>
          <a:off x="7715251" y="8267698"/>
          <a:ext cx="1114424" cy="100871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DA1C0F68-54CB-408A-BAFD-DE492EF53F76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Was sind die Kunden bereit zu zahlen? Wie will der Kunde bezahlen? Wie werden Einnahmen generiert?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1590676</xdr:colOff>
      <xdr:row>12</xdr:row>
      <xdr:rowOff>161925</xdr:rowOff>
    </xdr:from>
    <xdr:ext cx="933449" cy="168120"/>
    <xdr:sp macro="" textlink="" fLocksText="0">
      <xdr:nvSpPr>
        <xdr:cNvPr id="256" name="Gefaltete Ecke 255">
          <a:extLst>
            <a:ext uri="{FF2B5EF4-FFF2-40B4-BE49-F238E27FC236}">
              <a16:creationId xmlns:a16="http://schemas.microsoft.com/office/drawing/2014/main" id="{00000000-0008-0000-0F00-000000010000}"/>
            </a:ext>
          </a:extLst>
        </xdr:cNvPr>
        <xdr:cNvSpPr/>
      </xdr:nvSpPr>
      <xdr:spPr>
        <a:xfrm>
          <a:off x="2257426" y="30003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361951</xdr:colOff>
      <xdr:row>18</xdr:row>
      <xdr:rowOff>133350</xdr:rowOff>
    </xdr:from>
    <xdr:ext cx="933449" cy="168120"/>
    <xdr:sp macro="" textlink="" fLocksText="0">
      <xdr:nvSpPr>
        <xdr:cNvPr id="257" name="Gefaltete Ecke 256">
          <a:extLst>
            <a:ext uri="{FF2B5EF4-FFF2-40B4-BE49-F238E27FC236}">
              <a16:creationId xmlns:a16="http://schemas.microsoft.com/office/drawing/2014/main" id="{00000000-0008-0000-0F00-000001010000}"/>
            </a:ext>
          </a:extLst>
        </xdr:cNvPr>
        <xdr:cNvSpPr/>
      </xdr:nvSpPr>
      <xdr:spPr>
        <a:xfrm>
          <a:off x="1028701" y="41148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609601</xdr:colOff>
      <xdr:row>21</xdr:row>
      <xdr:rowOff>9525</xdr:rowOff>
    </xdr:from>
    <xdr:ext cx="933449" cy="168120"/>
    <xdr:sp macro="" textlink="" fLocksText="0">
      <xdr:nvSpPr>
        <xdr:cNvPr id="258" name="Gefaltete Ecke 257">
          <a:extLst>
            <a:ext uri="{FF2B5EF4-FFF2-40B4-BE49-F238E27FC236}">
              <a16:creationId xmlns:a16="http://schemas.microsoft.com/office/drawing/2014/main" id="{00000000-0008-0000-0F00-000002010000}"/>
            </a:ext>
          </a:extLst>
        </xdr:cNvPr>
        <xdr:cNvSpPr/>
      </xdr:nvSpPr>
      <xdr:spPr>
        <a:xfrm>
          <a:off x="1276351" y="45624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819151</xdr:colOff>
      <xdr:row>24</xdr:row>
      <xdr:rowOff>47625</xdr:rowOff>
    </xdr:from>
    <xdr:ext cx="933449" cy="168120"/>
    <xdr:sp macro="" textlink="" fLocksText="0">
      <xdr:nvSpPr>
        <xdr:cNvPr id="259" name="Gefaltete Ecke 258">
          <a:extLst>
            <a:ext uri="{FF2B5EF4-FFF2-40B4-BE49-F238E27FC236}">
              <a16:creationId xmlns:a16="http://schemas.microsoft.com/office/drawing/2014/main" id="{00000000-0008-0000-0F00-000003010000}"/>
            </a:ext>
          </a:extLst>
        </xdr:cNvPr>
        <xdr:cNvSpPr/>
      </xdr:nvSpPr>
      <xdr:spPr>
        <a:xfrm>
          <a:off x="1485901" y="52482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361951</xdr:colOff>
      <xdr:row>27</xdr:row>
      <xdr:rowOff>9525</xdr:rowOff>
    </xdr:from>
    <xdr:ext cx="933449" cy="168120"/>
    <xdr:sp macro="" textlink="" fLocksText="0">
      <xdr:nvSpPr>
        <xdr:cNvPr id="260" name="Gefaltete Ecke 259">
          <a:extLst>
            <a:ext uri="{FF2B5EF4-FFF2-40B4-BE49-F238E27FC236}">
              <a16:creationId xmlns:a16="http://schemas.microsoft.com/office/drawing/2014/main" id="{00000000-0008-0000-0F00-000004010000}"/>
            </a:ext>
          </a:extLst>
        </xdr:cNvPr>
        <xdr:cNvSpPr/>
      </xdr:nvSpPr>
      <xdr:spPr>
        <a:xfrm>
          <a:off x="1028701" y="57816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1647826</xdr:colOff>
      <xdr:row>17</xdr:row>
      <xdr:rowOff>104775</xdr:rowOff>
    </xdr:from>
    <xdr:ext cx="933449" cy="168120"/>
    <xdr:sp macro="" textlink="" fLocksText="0">
      <xdr:nvSpPr>
        <xdr:cNvPr id="261" name="Gefaltete Ecke 260">
          <a:extLst>
            <a:ext uri="{FF2B5EF4-FFF2-40B4-BE49-F238E27FC236}">
              <a16:creationId xmlns:a16="http://schemas.microsoft.com/office/drawing/2014/main" id="{00000000-0008-0000-0F00-000005010000}"/>
            </a:ext>
          </a:extLst>
        </xdr:cNvPr>
        <xdr:cNvSpPr/>
      </xdr:nvSpPr>
      <xdr:spPr>
        <a:xfrm>
          <a:off x="2314576" y="38957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619126</xdr:colOff>
      <xdr:row>14</xdr:row>
      <xdr:rowOff>142875</xdr:rowOff>
    </xdr:from>
    <xdr:ext cx="933449" cy="168120"/>
    <xdr:sp macro="" textlink="" fLocksText="0">
      <xdr:nvSpPr>
        <xdr:cNvPr id="264" name="Gefaltete Ecke 263">
          <a:extLst>
            <a:ext uri="{FF2B5EF4-FFF2-40B4-BE49-F238E27FC236}">
              <a16:creationId xmlns:a16="http://schemas.microsoft.com/office/drawing/2014/main" id="{00000000-0008-0000-0F00-000008010000}"/>
            </a:ext>
          </a:extLst>
        </xdr:cNvPr>
        <xdr:cNvSpPr/>
      </xdr:nvSpPr>
      <xdr:spPr>
        <a:xfrm>
          <a:off x="1285876" y="33623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1676401</xdr:colOff>
      <xdr:row>22</xdr:row>
      <xdr:rowOff>104775</xdr:rowOff>
    </xdr:from>
    <xdr:ext cx="933449" cy="168120"/>
    <xdr:sp macro="" textlink="" fLocksText="0">
      <xdr:nvSpPr>
        <xdr:cNvPr id="265" name="Gefaltete Ecke 264">
          <a:extLst>
            <a:ext uri="{FF2B5EF4-FFF2-40B4-BE49-F238E27FC236}">
              <a16:creationId xmlns:a16="http://schemas.microsoft.com/office/drawing/2014/main" id="{00000000-0008-0000-0F00-000009010000}"/>
            </a:ext>
          </a:extLst>
        </xdr:cNvPr>
        <xdr:cNvSpPr/>
      </xdr:nvSpPr>
      <xdr:spPr>
        <a:xfrm>
          <a:off x="2343151" y="48482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1638301</xdr:colOff>
      <xdr:row>29</xdr:row>
      <xdr:rowOff>76200</xdr:rowOff>
    </xdr:from>
    <xdr:ext cx="933449" cy="168120"/>
    <xdr:sp macro="" textlink="" fLocksText="0">
      <xdr:nvSpPr>
        <xdr:cNvPr id="266" name="Gefaltete Ecke 265">
          <a:extLst>
            <a:ext uri="{FF2B5EF4-FFF2-40B4-BE49-F238E27FC236}">
              <a16:creationId xmlns:a16="http://schemas.microsoft.com/office/drawing/2014/main" id="{00000000-0008-0000-0F00-00000A010000}"/>
            </a:ext>
          </a:extLst>
        </xdr:cNvPr>
        <xdr:cNvSpPr/>
      </xdr:nvSpPr>
      <xdr:spPr>
        <a:xfrm>
          <a:off x="2305051" y="62293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476251</xdr:colOff>
      <xdr:row>31</xdr:row>
      <xdr:rowOff>123825</xdr:rowOff>
    </xdr:from>
    <xdr:ext cx="933449" cy="168120"/>
    <xdr:sp macro="" textlink="" fLocksText="0">
      <xdr:nvSpPr>
        <xdr:cNvPr id="267" name="Gefaltete Ecke 266">
          <a:extLst>
            <a:ext uri="{FF2B5EF4-FFF2-40B4-BE49-F238E27FC236}">
              <a16:creationId xmlns:a16="http://schemas.microsoft.com/office/drawing/2014/main" id="{00000000-0008-0000-0F00-00000B010000}"/>
            </a:ext>
          </a:extLst>
        </xdr:cNvPr>
        <xdr:cNvSpPr/>
      </xdr:nvSpPr>
      <xdr:spPr>
        <a:xfrm>
          <a:off x="1143001" y="66579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904876</xdr:colOff>
      <xdr:row>34</xdr:row>
      <xdr:rowOff>95250</xdr:rowOff>
    </xdr:from>
    <xdr:ext cx="933449" cy="168120"/>
    <xdr:sp macro="" textlink="" fLocksText="0">
      <xdr:nvSpPr>
        <xdr:cNvPr id="268" name="Gefaltete Ecke 267">
          <a:extLst>
            <a:ext uri="{FF2B5EF4-FFF2-40B4-BE49-F238E27FC236}">
              <a16:creationId xmlns:a16="http://schemas.microsoft.com/office/drawing/2014/main" id="{00000000-0008-0000-0F00-00000C010000}"/>
            </a:ext>
          </a:extLst>
        </xdr:cNvPr>
        <xdr:cNvSpPr/>
      </xdr:nvSpPr>
      <xdr:spPr>
        <a:xfrm>
          <a:off x="1571626" y="72009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1628776</xdr:colOff>
      <xdr:row>10</xdr:row>
      <xdr:rowOff>85724</xdr:rowOff>
    </xdr:from>
    <xdr:ext cx="933449" cy="200025"/>
    <xdr:sp macro="" textlink="" fLocksText="0">
      <xdr:nvSpPr>
        <xdr:cNvPr id="269" name="Gefaltete Ecke 268">
          <a:extLst>
            <a:ext uri="{FF2B5EF4-FFF2-40B4-BE49-F238E27FC236}">
              <a16:creationId xmlns:a16="http://schemas.microsoft.com/office/drawing/2014/main" id="{00000000-0008-0000-0F00-00000D010000}"/>
            </a:ext>
          </a:extLst>
        </xdr:cNvPr>
        <xdr:cNvSpPr/>
      </xdr:nvSpPr>
      <xdr:spPr>
        <a:xfrm>
          <a:off x="2295526" y="2543174"/>
          <a:ext cx="933449" cy="200025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133351</xdr:colOff>
      <xdr:row>12</xdr:row>
      <xdr:rowOff>161925</xdr:rowOff>
    </xdr:from>
    <xdr:ext cx="933449" cy="168120"/>
    <xdr:sp macro="" textlink="" fLocksText="0">
      <xdr:nvSpPr>
        <xdr:cNvPr id="270" name="Gefaltete Ecke 269">
          <a:extLst>
            <a:ext uri="{FF2B5EF4-FFF2-40B4-BE49-F238E27FC236}">
              <a16:creationId xmlns:a16="http://schemas.microsoft.com/office/drawing/2014/main" id="{00000000-0008-0000-0F00-00000E010000}"/>
            </a:ext>
          </a:extLst>
        </xdr:cNvPr>
        <xdr:cNvSpPr/>
      </xdr:nvSpPr>
      <xdr:spPr>
        <a:xfrm>
          <a:off x="3514726" y="30003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1495426</xdr:colOff>
      <xdr:row>13</xdr:row>
      <xdr:rowOff>152400</xdr:rowOff>
    </xdr:from>
    <xdr:ext cx="933449" cy="168120"/>
    <xdr:sp macro="" textlink="" fLocksText="0">
      <xdr:nvSpPr>
        <xdr:cNvPr id="271" name="Gefaltete Ecke 270">
          <a:extLst>
            <a:ext uri="{FF2B5EF4-FFF2-40B4-BE49-F238E27FC236}">
              <a16:creationId xmlns:a16="http://schemas.microsoft.com/office/drawing/2014/main" id="{00000000-0008-0000-0F00-00000F010000}"/>
            </a:ext>
          </a:extLst>
        </xdr:cNvPr>
        <xdr:cNvSpPr/>
      </xdr:nvSpPr>
      <xdr:spPr>
        <a:xfrm>
          <a:off x="4876801" y="31813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266701</xdr:colOff>
      <xdr:row>19</xdr:row>
      <xdr:rowOff>123825</xdr:rowOff>
    </xdr:from>
    <xdr:ext cx="933449" cy="168120"/>
    <xdr:sp macro="" textlink="" fLocksText="0">
      <xdr:nvSpPr>
        <xdr:cNvPr id="272" name="Gefaltete Ecke 271">
          <a:extLst>
            <a:ext uri="{FF2B5EF4-FFF2-40B4-BE49-F238E27FC236}">
              <a16:creationId xmlns:a16="http://schemas.microsoft.com/office/drawing/2014/main" id="{00000000-0008-0000-0F00-000010010000}"/>
            </a:ext>
          </a:extLst>
        </xdr:cNvPr>
        <xdr:cNvSpPr/>
      </xdr:nvSpPr>
      <xdr:spPr>
        <a:xfrm>
          <a:off x="3648076" y="42957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1552576</xdr:colOff>
      <xdr:row>18</xdr:row>
      <xdr:rowOff>95250</xdr:rowOff>
    </xdr:from>
    <xdr:ext cx="933449" cy="168120"/>
    <xdr:sp macro="" textlink="" fLocksText="0">
      <xdr:nvSpPr>
        <xdr:cNvPr id="273" name="Gefaltete Ecke 272">
          <a:extLst>
            <a:ext uri="{FF2B5EF4-FFF2-40B4-BE49-F238E27FC236}">
              <a16:creationId xmlns:a16="http://schemas.microsoft.com/office/drawing/2014/main" id="{00000000-0008-0000-0F00-000011010000}"/>
            </a:ext>
          </a:extLst>
        </xdr:cNvPr>
        <xdr:cNvSpPr/>
      </xdr:nvSpPr>
      <xdr:spPr>
        <a:xfrm>
          <a:off x="4933951" y="40767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523876</xdr:colOff>
      <xdr:row>15</xdr:row>
      <xdr:rowOff>133350</xdr:rowOff>
    </xdr:from>
    <xdr:ext cx="933449" cy="168120"/>
    <xdr:sp macro="" textlink="" fLocksText="0">
      <xdr:nvSpPr>
        <xdr:cNvPr id="274" name="Gefaltete Ecke 273">
          <a:extLst>
            <a:ext uri="{FF2B5EF4-FFF2-40B4-BE49-F238E27FC236}">
              <a16:creationId xmlns:a16="http://schemas.microsoft.com/office/drawing/2014/main" id="{00000000-0008-0000-0F00-000012010000}"/>
            </a:ext>
          </a:extLst>
        </xdr:cNvPr>
        <xdr:cNvSpPr/>
      </xdr:nvSpPr>
      <xdr:spPr>
        <a:xfrm>
          <a:off x="3905251" y="35433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1533526</xdr:colOff>
      <xdr:row>11</xdr:row>
      <xdr:rowOff>76200</xdr:rowOff>
    </xdr:from>
    <xdr:ext cx="933449" cy="168120"/>
    <xdr:sp macro="" textlink="" fLocksText="0">
      <xdr:nvSpPr>
        <xdr:cNvPr id="275" name="Gefaltete Ecke 274">
          <a:extLst>
            <a:ext uri="{FF2B5EF4-FFF2-40B4-BE49-F238E27FC236}">
              <a16:creationId xmlns:a16="http://schemas.microsoft.com/office/drawing/2014/main" id="{00000000-0008-0000-0F00-000013010000}"/>
            </a:ext>
          </a:extLst>
        </xdr:cNvPr>
        <xdr:cNvSpPr/>
      </xdr:nvSpPr>
      <xdr:spPr>
        <a:xfrm>
          <a:off x="4914901" y="27241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180976</xdr:colOff>
      <xdr:row>29</xdr:row>
      <xdr:rowOff>152400</xdr:rowOff>
    </xdr:from>
    <xdr:ext cx="933449" cy="168120"/>
    <xdr:sp macro="" textlink="" fLocksText="0">
      <xdr:nvSpPr>
        <xdr:cNvPr id="276" name="Gefaltete Ecke 275">
          <a:extLst>
            <a:ext uri="{FF2B5EF4-FFF2-40B4-BE49-F238E27FC236}">
              <a16:creationId xmlns:a16="http://schemas.microsoft.com/office/drawing/2014/main" id="{00000000-0008-0000-0F00-000014010000}"/>
            </a:ext>
          </a:extLst>
        </xdr:cNvPr>
        <xdr:cNvSpPr/>
      </xdr:nvSpPr>
      <xdr:spPr>
        <a:xfrm>
          <a:off x="3562351" y="63055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1543051</xdr:colOff>
      <xdr:row>30</xdr:row>
      <xdr:rowOff>142875</xdr:rowOff>
    </xdr:from>
    <xdr:ext cx="933449" cy="168120"/>
    <xdr:sp macro="" textlink="" fLocksText="0">
      <xdr:nvSpPr>
        <xdr:cNvPr id="277" name="Gefaltete Ecke 276">
          <a:extLst>
            <a:ext uri="{FF2B5EF4-FFF2-40B4-BE49-F238E27FC236}">
              <a16:creationId xmlns:a16="http://schemas.microsoft.com/office/drawing/2014/main" id="{00000000-0008-0000-0F00-000015010000}"/>
            </a:ext>
          </a:extLst>
        </xdr:cNvPr>
        <xdr:cNvSpPr/>
      </xdr:nvSpPr>
      <xdr:spPr>
        <a:xfrm>
          <a:off x="4924426" y="64865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314326</xdr:colOff>
      <xdr:row>36</xdr:row>
      <xdr:rowOff>114300</xdr:rowOff>
    </xdr:from>
    <xdr:ext cx="933449" cy="168120"/>
    <xdr:sp macro="" textlink="" fLocksText="0">
      <xdr:nvSpPr>
        <xdr:cNvPr id="278" name="Gefaltete Ecke 277">
          <a:extLst>
            <a:ext uri="{FF2B5EF4-FFF2-40B4-BE49-F238E27FC236}">
              <a16:creationId xmlns:a16="http://schemas.microsoft.com/office/drawing/2014/main" id="{00000000-0008-0000-0F00-000016010000}"/>
            </a:ext>
          </a:extLst>
        </xdr:cNvPr>
        <xdr:cNvSpPr/>
      </xdr:nvSpPr>
      <xdr:spPr>
        <a:xfrm>
          <a:off x="3695701" y="76009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1600201</xdr:colOff>
      <xdr:row>35</xdr:row>
      <xdr:rowOff>85725</xdr:rowOff>
    </xdr:from>
    <xdr:ext cx="933449" cy="168120"/>
    <xdr:sp macro="" textlink="" fLocksText="0">
      <xdr:nvSpPr>
        <xdr:cNvPr id="279" name="Gefaltete Ecke 278">
          <a:extLst>
            <a:ext uri="{FF2B5EF4-FFF2-40B4-BE49-F238E27FC236}">
              <a16:creationId xmlns:a16="http://schemas.microsoft.com/office/drawing/2014/main" id="{00000000-0008-0000-0F00-000017010000}"/>
            </a:ext>
          </a:extLst>
        </xdr:cNvPr>
        <xdr:cNvSpPr/>
      </xdr:nvSpPr>
      <xdr:spPr>
        <a:xfrm>
          <a:off x="4981576" y="73818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571501</xdr:colOff>
      <xdr:row>32</xdr:row>
      <xdr:rowOff>123825</xdr:rowOff>
    </xdr:from>
    <xdr:ext cx="933449" cy="168120"/>
    <xdr:sp macro="" textlink="" fLocksText="0">
      <xdr:nvSpPr>
        <xdr:cNvPr id="280" name="Gefaltete Ecke 279">
          <a:extLst>
            <a:ext uri="{FF2B5EF4-FFF2-40B4-BE49-F238E27FC236}">
              <a16:creationId xmlns:a16="http://schemas.microsoft.com/office/drawing/2014/main" id="{00000000-0008-0000-0F00-000018010000}"/>
            </a:ext>
          </a:extLst>
        </xdr:cNvPr>
        <xdr:cNvSpPr/>
      </xdr:nvSpPr>
      <xdr:spPr>
        <a:xfrm>
          <a:off x="3952876" y="68484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1581151</xdr:colOff>
      <xdr:row>28</xdr:row>
      <xdr:rowOff>66675</xdr:rowOff>
    </xdr:from>
    <xdr:ext cx="933449" cy="168120"/>
    <xdr:sp macro="" textlink="" fLocksText="0">
      <xdr:nvSpPr>
        <xdr:cNvPr id="281" name="Gefaltete Ecke 280">
          <a:extLst>
            <a:ext uri="{FF2B5EF4-FFF2-40B4-BE49-F238E27FC236}">
              <a16:creationId xmlns:a16="http://schemas.microsoft.com/office/drawing/2014/main" id="{00000000-0008-0000-0F00-000019010000}"/>
            </a:ext>
          </a:extLst>
        </xdr:cNvPr>
        <xdr:cNvSpPr/>
      </xdr:nvSpPr>
      <xdr:spPr>
        <a:xfrm>
          <a:off x="4962526" y="60293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238126</xdr:colOff>
      <xdr:row>14</xdr:row>
      <xdr:rowOff>152400</xdr:rowOff>
    </xdr:from>
    <xdr:ext cx="933449" cy="168120"/>
    <xdr:sp macro="" textlink="" fLocksText="0">
      <xdr:nvSpPr>
        <xdr:cNvPr id="282" name="Gefaltete Ecke 281">
          <a:extLst>
            <a:ext uri="{FF2B5EF4-FFF2-40B4-BE49-F238E27FC236}">
              <a16:creationId xmlns:a16="http://schemas.microsoft.com/office/drawing/2014/main" id="{00000000-0008-0000-0F00-00001A010000}"/>
            </a:ext>
          </a:extLst>
        </xdr:cNvPr>
        <xdr:cNvSpPr/>
      </xdr:nvSpPr>
      <xdr:spPr>
        <a:xfrm>
          <a:off x="6334126" y="33718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219076</xdr:colOff>
      <xdr:row>15</xdr:row>
      <xdr:rowOff>142875</xdr:rowOff>
    </xdr:from>
    <xdr:ext cx="933449" cy="168120"/>
    <xdr:sp macro="" textlink="" fLocksText="0">
      <xdr:nvSpPr>
        <xdr:cNvPr id="283" name="Gefaltete Ecke 282">
          <a:extLst>
            <a:ext uri="{FF2B5EF4-FFF2-40B4-BE49-F238E27FC236}">
              <a16:creationId xmlns:a16="http://schemas.microsoft.com/office/drawing/2014/main" id="{00000000-0008-0000-0F00-00001B010000}"/>
            </a:ext>
          </a:extLst>
        </xdr:cNvPr>
        <xdr:cNvSpPr/>
      </xdr:nvSpPr>
      <xdr:spPr>
        <a:xfrm>
          <a:off x="7696201" y="35528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371476</xdr:colOff>
      <xdr:row>21</xdr:row>
      <xdr:rowOff>114300</xdr:rowOff>
    </xdr:from>
    <xdr:ext cx="933449" cy="168120"/>
    <xdr:sp macro="" textlink="" fLocksText="0">
      <xdr:nvSpPr>
        <xdr:cNvPr id="284" name="Gefaltete Ecke 283">
          <a:extLst>
            <a:ext uri="{FF2B5EF4-FFF2-40B4-BE49-F238E27FC236}">
              <a16:creationId xmlns:a16="http://schemas.microsoft.com/office/drawing/2014/main" id="{00000000-0008-0000-0F00-00001C010000}"/>
            </a:ext>
          </a:extLst>
        </xdr:cNvPr>
        <xdr:cNvSpPr/>
      </xdr:nvSpPr>
      <xdr:spPr>
        <a:xfrm>
          <a:off x="6467476" y="46672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276226</xdr:colOff>
      <xdr:row>20</xdr:row>
      <xdr:rowOff>85725</xdr:rowOff>
    </xdr:from>
    <xdr:ext cx="933449" cy="168120"/>
    <xdr:sp macro="" textlink="" fLocksText="0">
      <xdr:nvSpPr>
        <xdr:cNvPr id="285" name="Gefaltete Ecke 284">
          <a:extLst>
            <a:ext uri="{FF2B5EF4-FFF2-40B4-BE49-F238E27FC236}">
              <a16:creationId xmlns:a16="http://schemas.microsoft.com/office/drawing/2014/main" id="{00000000-0008-0000-0F00-00001D010000}"/>
            </a:ext>
          </a:extLst>
        </xdr:cNvPr>
        <xdr:cNvSpPr/>
      </xdr:nvSpPr>
      <xdr:spPr>
        <a:xfrm>
          <a:off x="7753351" y="44481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628651</xdr:colOff>
      <xdr:row>17</xdr:row>
      <xdr:rowOff>123825</xdr:rowOff>
    </xdr:from>
    <xdr:ext cx="933449" cy="168120"/>
    <xdr:sp macro="" textlink="" fLocksText="0">
      <xdr:nvSpPr>
        <xdr:cNvPr id="286" name="Gefaltete Ecke 285">
          <a:extLst>
            <a:ext uri="{FF2B5EF4-FFF2-40B4-BE49-F238E27FC236}">
              <a16:creationId xmlns:a16="http://schemas.microsoft.com/office/drawing/2014/main" id="{00000000-0008-0000-0F00-00001E010000}"/>
            </a:ext>
          </a:extLst>
        </xdr:cNvPr>
        <xdr:cNvSpPr/>
      </xdr:nvSpPr>
      <xdr:spPr>
        <a:xfrm>
          <a:off x="6724651" y="39147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257176</xdr:colOff>
      <xdr:row>13</xdr:row>
      <xdr:rowOff>66675</xdr:rowOff>
    </xdr:from>
    <xdr:ext cx="933449" cy="168120"/>
    <xdr:sp macro="" textlink="" fLocksText="0">
      <xdr:nvSpPr>
        <xdr:cNvPr id="287" name="Gefaltete Ecke 286">
          <a:extLst>
            <a:ext uri="{FF2B5EF4-FFF2-40B4-BE49-F238E27FC236}">
              <a16:creationId xmlns:a16="http://schemas.microsoft.com/office/drawing/2014/main" id="{00000000-0008-0000-0F00-00001F010000}"/>
            </a:ext>
          </a:extLst>
        </xdr:cNvPr>
        <xdr:cNvSpPr/>
      </xdr:nvSpPr>
      <xdr:spPr>
        <a:xfrm>
          <a:off x="7734301" y="30956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133351</xdr:colOff>
      <xdr:row>25</xdr:row>
      <xdr:rowOff>123825</xdr:rowOff>
    </xdr:from>
    <xdr:ext cx="933449" cy="168120"/>
    <xdr:sp macro="" textlink="" fLocksText="0">
      <xdr:nvSpPr>
        <xdr:cNvPr id="288" name="Gefaltete Ecke 287">
          <a:extLst>
            <a:ext uri="{FF2B5EF4-FFF2-40B4-BE49-F238E27FC236}">
              <a16:creationId xmlns:a16="http://schemas.microsoft.com/office/drawing/2014/main" id="{00000000-0008-0000-0F00-000020010000}"/>
            </a:ext>
          </a:extLst>
        </xdr:cNvPr>
        <xdr:cNvSpPr/>
      </xdr:nvSpPr>
      <xdr:spPr>
        <a:xfrm>
          <a:off x="6229351" y="55149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114301</xdr:colOff>
      <xdr:row>26</xdr:row>
      <xdr:rowOff>114300</xdr:rowOff>
    </xdr:from>
    <xdr:ext cx="933449" cy="168120"/>
    <xdr:sp macro="" textlink="" fLocksText="0">
      <xdr:nvSpPr>
        <xdr:cNvPr id="289" name="Gefaltete Ecke 288">
          <a:extLst>
            <a:ext uri="{FF2B5EF4-FFF2-40B4-BE49-F238E27FC236}">
              <a16:creationId xmlns:a16="http://schemas.microsoft.com/office/drawing/2014/main" id="{00000000-0008-0000-0F00-000021010000}"/>
            </a:ext>
          </a:extLst>
        </xdr:cNvPr>
        <xdr:cNvSpPr/>
      </xdr:nvSpPr>
      <xdr:spPr>
        <a:xfrm>
          <a:off x="7591426" y="56959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266701</xdr:colOff>
      <xdr:row>32</xdr:row>
      <xdr:rowOff>85725</xdr:rowOff>
    </xdr:from>
    <xdr:ext cx="933449" cy="168120"/>
    <xdr:sp macro="" textlink="" fLocksText="0">
      <xdr:nvSpPr>
        <xdr:cNvPr id="290" name="Gefaltete Ecke 289">
          <a:extLst>
            <a:ext uri="{FF2B5EF4-FFF2-40B4-BE49-F238E27FC236}">
              <a16:creationId xmlns:a16="http://schemas.microsoft.com/office/drawing/2014/main" id="{00000000-0008-0000-0F00-000022010000}"/>
            </a:ext>
          </a:extLst>
        </xdr:cNvPr>
        <xdr:cNvSpPr/>
      </xdr:nvSpPr>
      <xdr:spPr>
        <a:xfrm>
          <a:off x="6362701" y="68103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171451</xdr:colOff>
      <xdr:row>31</xdr:row>
      <xdr:rowOff>57150</xdr:rowOff>
    </xdr:from>
    <xdr:ext cx="933449" cy="168120"/>
    <xdr:sp macro="" textlink="" fLocksText="0">
      <xdr:nvSpPr>
        <xdr:cNvPr id="291" name="Gefaltete Ecke 290">
          <a:extLst>
            <a:ext uri="{FF2B5EF4-FFF2-40B4-BE49-F238E27FC236}">
              <a16:creationId xmlns:a16="http://schemas.microsoft.com/office/drawing/2014/main" id="{00000000-0008-0000-0F00-000023010000}"/>
            </a:ext>
          </a:extLst>
        </xdr:cNvPr>
        <xdr:cNvSpPr/>
      </xdr:nvSpPr>
      <xdr:spPr>
        <a:xfrm>
          <a:off x="7648576" y="65913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523876</xdr:colOff>
      <xdr:row>28</xdr:row>
      <xdr:rowOff>95250</xdr:rowOff>
    </xdr:from>
    <xdr:ext cx="933449" cy="168120"/>
    <xdr:sp macro="" textlink="" fLocksText="0">
      <xdr:nvSpPr>
        <xdr:cNvPr id="292" name="Gefaltete Ecke 291">
          <a:extLst>
            <a:ext uri="{FF2B5EF4-FFF2-40B4-BE49-F238E27FC236}">
              <a16:creationId xmlns:a16="http://schemas.microsoft.com/office/drawing/2014/main" id="{00000000-0008-0000-0F00-000024010000}"/>
            </a:ext>
          </a:extLst>
        </xdr:cNvPr>
        <xdr:cNvSpPr/>
      </xdr:nvSpPr>
      <xdr:spPr>
        <a:xfrm>
          <a:off x="6619876" y="60579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152401</xdr:colOff>
      <xdr:row>24</xdr:row>
      <xdr:rowOff>38100</xdr:rowOff>
    </xdr:from>
    <xdr:ext cx="933449" cy="168120"/>
    <xdr:sp macro="" textlink="" fLocksText="0">
      <xdr:nvSpPr>
        <xdr:cNvPr id="293" name="Gefaltete Ecke 292">
          <a:extLst>
            <a:ext uri="{FF2B5EF4-FFF2-40B4-BE49-F238E27FC236}">
              <a16:creationId xmlns:a16="http://schemas.microsoft.com/office/drawing/2014/main" id="{00000000-0008-0000-0F00-000025010000}"/>
            </a:ext>
          </a:extLst>
        </xdr:cNvPr>
        <xdr:cNvSpPr/>
      </xdr:nvSpPr>
      <xdr:spPr>
        <a:xfrm>
          <a:off x="7629526" y="52387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123826</xdr:colOff>
      <xdr:row>13</xdr:row>
      <xdr:rowOff>142875</xdr:rowOff>
    </xdr:from>
    <xdr:ext cx="933449" cy="168120"/>
    <xdr:sp macro="" textlink="" fLocksText="0">
      <xdr:nvSpPr>
        <xdr:cNvPr id="294" name="Gefaltete Ecke 293">
          <a:extLst>
            <a:ext uri="{FF2B5EF4-FFF2-40B4-BE49-F238E27FC236}">
              <a16:creationId xmlns:a16="http://schemas.microsoft.com/office/drawing/2014/main" id="{00000000-0008-0000-0F00-000026010000}"/>
            </a:ext>
          </a:extLst>
        </xdr:cNvPr>
        <xdr:cNvSpPr/>
      </xdr:nvSpPr>
      <xdr:spPr>
        <a:xfrm>
          <a:off x="8982076" y="31718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1485901</xdr:colOff>
      <xdr:row>14</xdr:row>
      <xdr:rowOff>133350</xdr:rowOff>
    </xdr:from>
    <xdr:ext cx="933449" cy="168120"/>
    <xdr:sp macro="" textlink="" fLocksText="0">
      <xdr:nvSpPr>
        <xdr:cNvPr id="295" name="Gefaltete Ecke 294">
          <a:extLst>
            <a:ext uri="{FF2B5EF4-FFF2-40B4-BE49-F238E27FC236}">
              <a16:creationId xmlns:a16="http://schemas.microsoft.com/office/drawing/2014/main" id="{00000000-0008-0000-0F00-000027010000}"/>
            </a:ext>
          </a:extLst>
        </xdr:cNvPr>
        <xdr:cNvSpPr/>
      </xdr:nvSpPr>
      <xdr:spPr>
        <a:xfrm>
          <a:off x="10344151" y="33528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257176</xdr:colOff>
      <xdr:row>20</xdr:row>
      <xdr:rowOff>104775</xdr:rowOff>
    </xdr:from>
    <xdr:ext cx="933449" cy="168120"/>
    <xdr:sp macro="" textlink="" fLocksText="0">
      <xdr:nvSpPr>
        <xdr:cNvPr id="296" name="Gefaltete Ecke 295">
          <a:extLst>
            <a:ext uri="{FF2B5EF4-FFF2-40B4-BE49-F238E27FC236}">
              <a16:creationId xmlns:a16="http://schemas.microsoft.com/office/drawing/2014/main" id="{00000000-0008-0000-0F00-000028010000}"/>
            </a:ext>
          </a:extLst>
        </xdr:cNvPr>
        <xdr:cNvSpPr/>
      </xdr:nvSpPr>
      <xdr:spPr>
        <a:xfrm>
          <a:off x="9115426" y="44672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1543051</xdr:colOff>
      <xdr:row>19</xdr:row>
      <xdr:rowOff>76200</xdr:rowOff>
    </xdr:from>
    <xdr:ext cx="933449" cy="168120"/>
    <xdr:sp macro="" textlink="" fLocksText="0">
      <xdr:nvSpPr>
        <xdr:cNvPr id="297" name="Gefaltete Ecke 296">
          <a:extLst>
            <a:ext uri="{FF2B5EF4-FFF2-40B4-BE49-F238E27FC236}">
              <a16:creationId xmlns:a16="http://schemas.microsoft.com/office/drawing/2014/main" id="{00000000-0008-0000-0F00-000029010000}"/>
            </a:ext>
          </a:extLst>
        </xdr:cNvPr>
        <xdr:cNvSpPr/>
      </xdr:nvSpPr>
      <xdr:spPr>
        <a:xfrm>
          <a:off x="10401301" y="42481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514351</xdr:colOff>
      <xdr:row>16</xdr:row>
      <xdr:rowOff>114300</xdr:rowOff>
    </xdr:from>
    <xdr:ext cx="933449" cy="168120"/>
    <xdr:sp macro="" textlink="" fLocksText="0">
      <xdr:nvSpPr>
        <xdr:cNvPr id="298" name="Gefaltete Ecke 297">
          <a:extLst>
            <a:ext uri="{FF2B5EF4-FFF2-40B4-BE49-F238E27FC236}">
              <a16:creationId xmlns:a16="http://schemas.microsoft.com/office/drawing/2014/main" id="{00000000-0008-0000-0F00-00002A010000}"/>
            </a:ext>
          </a:extLst>
        </xdr:cNvPr>
        <xdr:cNvSpPr/>
      </xdr:nvSpPr>
      <xdr:spPr>
        <a:xfrm>
          <a:off x="9372601" y="37147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1524001</xdr:colOff>
      <xdr:row>12</xdr:row>
      <xdr:rowOff>57150</xdr:rowOff>
    </xdr:from>
    <xdr:ext cx="933449" cy="168120"/>
    <xdr:sp macro="" textlink="" fLocksText="0">
      <xdr:nvSpPr>
        <xdr:cNvPr id="299" name="Gefaltete Ecke 298">
          <a:extLst>
            <a:ext uri="{FF2B5EF4-FFF2-40B4-BE49-F238E27FC236}">
              <a16:creationId xmlns:a16="http://schemas.microsoft.com/office/drawing/2014/main" id="{00000000-0008-0000-0F00-00002B010000}"/>
            </a:ext>
          </a:extLst>
        </xdr:cNvPr>
        <xdr:cNvSpPr/>
      </xdr:nvSpPr>
      <xdr:spPr>
        <a:xfrm>
          <a:off x="10382251" y="28956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95251</xdr:colOff>
      <xdr:row>28</xdr:row>
      <xdr:rowOff>171450</xdr:rowOff>
    </xdr:from>
    <xdr:ext cx="933449" cy="168120"/>
    <xdr:sp macro="" textlink="" fLocksText="0">
      <xdr:nvSpPr>
        <xdr:cNvPr id="300" name="Gefaltete Ecke 299">
          <a:extLst>
            <a:ext uri="{FF2B5EF4-FFF2-40B4-BE49-F238E27FC236}">
              <a16:creationId xmlns:a16="http://schemas.microsoft.com/office/drawing/2014/main" id="{00000000-0008-0000-0F00-00002C010000}"/>
            </a:ext>
          </a:extLst>
        </xdr:cNvPr>
        <xdr:cNvSpPr/>
      </xdr:nvSpPr>
      <xdr:spPr>
        <a:xfrm>
          <a:off x="8953501" y="61341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1457326</xdr:colOff>
      <xdr:row>29</xdr:row>
      <xdr:rowOff>161925</xdr:rowOff>
    </xdr:from>
    <xdr:ext cx="933449" cy="168120"/>
    <xdr:sp macro="" textlink="" fLocksText="0">
      <xdr:nvSpPr>
        <xdr:cNvPr id="301" name="Gefaltete Ecke 300">
          <a:extLst>
            <a:ext uri="{FF2B5EF4-FFF2-40B4-BE49-F238E27FC236}">
              <a16:creationId xmlns:a16="http://schemas.microsoft.com/office/drawing/2014/main" id="{00000000-0008-0000-0F00-00002D010000}"/>
            </a:ext>
          </a:extLst>
        </xdr:cNvPr>
        <xdr:cNvSpPr/>
      </xdr:nvSpPr>
      <xdr:spPr>
        <a:xfrm>
          <a:off x="10315576" y="63150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228601</xdr:colOff>
      <xdr:row>35</xdr:row>
      <xdr:rowOff>133350</xdr:rowOff>
    </xdr:from>
    <xdr:ext cx="933449" cy="168120"/>
    <xdr:sp macro="" textlink="" fLocksText="0">
      <xdr:nvSpPr>
        <xdr:cNvPr id="302" name="Gefaltete Ecke 301">
          <a:extLst>
            <a:ext uri="{FF2B5EF4-FFF2-40B4-BE49-F238E27FC236}">
              <a16:creationId xmlns:a16="http://schemas.microsoft.com/office/drawing/2014/main" id="{00000000-0008-0000-0F00-00002E010000}"/>
            </a:ext>
          </a:extLst>
        </xdr:cNvPr>
        <xdr:cNvSpPr/>
      </xdr:nvSpPr>
      <xdr:spPr>
        <a:xfrm>
          <a:off x="9086851" y="74295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1514476</xdr:colOff>
      <xdr:row>34</xdr:row>
      <xdr:rowOff>104775</xdr:rowOff>
    </xdr:from>
    <xdr:ext cx="933449" cy="168120"/>
    <xdr:sp macro="" textlink="" fLocksText="0">
      <xdr:nvSpPr>
        <xdr:cNvPr id="303" name="Gefaltete Ecke 302">
          <a:extLst>
            <a:ext uri="{FF2B5EF4-FFF2-40B4-BE49-F238E27FC236}">
              <a16:creationId xmlns:a16="http://schemas.microsoft.com/office/drawing/2014/main" id="{00000000-0008-0000-0F00-00002F010000}"/>
            </a:ext>
          </a:extLst>
        </xdr:cNvPr>
        <xdr:cNvSpPr/>
      </xdr:nvSpPr>
      <xdr:spPr>
        <a:xfrm>
          <a:off x="10372726" y="72104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485776</xdr:colOff>
      <xdr:row>31</xdr:row>
      <xdr:rowOff>142875</xdr:rowOff>
    </xdr:from>
    <xdr:ext cx="933449" cy="168120"/>
    <xdr:sp macro="" textlink="" fLocksText="0">
      <xdr:nvSpPr>
        <xdr:cNvPr id="304" name="Gefaltete Ecke 303">
          <a:extLst>
            <a:ext uri="{FF2B5EF4-FFF2-40B4-BE49-F238E27FC236}">
              <a16:creationId xmlns:a16="http://schemas.microsoft.com/office/drawing/2014/main" id="{00000000-0008-0000-0F00-000030010000}"/>
            </a:ext>
          </a:extLst>
        </xdr:cNvPr>
        <xdr:cNvSpPr/>
      </xdr:nvSpPr>
      <xdr:spPr>
        <a:xfrm>
          <a:off x="9344026" y="66770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1495426</xdr:colOff>
      <xdr:row>27</xdr:row>
      <xdr:rowOff>85725</xdr:rowOff>
    </xdr:from>
    <xdr:ext cx="933449" cy="168120"/>
    <xdr:sp macro="" textlink="" fLocksText="0">
      <xdr:nvSpPr>
        <xdr:cNvPr id="305" name="Gefaltete Ecke 304">
          <a:extLst>
            <a:ext uri="{FF2B5EF4-FFF2-40B4-BE49-F238E27FC236}">
              <a16:creationId xmlns:a16="http://schemas.microsoft.com/office/drawing/2014/main" id="{00000000-0008-0000-0F00-000031010000}"/>
            </a:ext>
          </a:extLst>
        </xdr:cNvPr>
        <xdr:cNvSpPr/>
      </xdr:nvSpPr>
      <xdr:spPr>
        <a:xfrm>
          <a:off x="10353676" y="58578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209551</xdr:colOff>
      <xdr:row>12</xdr:row>
      <xdr:rowOff>57150</xdr:rowOff>
    </xdr:from>
    <xdr:ext cx="933449" cy="168120"/>
    <xdr:sp macro="" textlink="" fLocksText="0">
      <xdr:nvSpPr>
        <xdr:cNvPr id="306" name="Gefaltete Ecke 305">
          <a:extLst>
            <a:ext uri="{FF2B5EF4-FFF2-40B4-BE49-F238E27FC236}">
              <a16:creationId xmlns:a16="http://schemas.microsoft.com/office/drawing/2014/main" id="{00000000-0008-0000-0F00-000032010000}"/>
            </a:ext>
          </a:extLst>
        </xdr:cNvPr>
        <xdr:cNvSpPr/>
      </xdr:nvSpPr>
      <xdr:spPr>
        <a:xfrm>
          <a:off x="11782426" y="28956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1571626</xdr:colOff>
      <xdr:row>13</xdr:row>
      <xdr:rowOff>47625</xdr:rowOff>
    </xdr:from>
    <xdr:ext cx="933449" cy="168120"/>
    <xdr:sp macro="" textlink="" fLocksText="0">
      <xdr:nvSpPr>
        <xdr:cNvPr id="307" name="Gefaltete Ecke 306">
          <a:extLst>
            <a:ext uri="{FF2B5EF4-FFF2-40B4-BE49-F238E27FC236}">
              <a16:creationId xmlns:a16="http://schemas.microsoft.com/office/drawing/2014/main" id="{00000000-0008-0000-0F00-000033010000}"/>
            </a:ext>
          </a:extLst>
        </xdr:cNvPr>
        <xdr:cNvSpPr/>
      </xdr:nvSpPr>
      <xdr:spPr>
        <a:xfrm>
          <a:off x="13144501" y="30765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342901</xdr:colOff>
      <xdr:row>19</xdr:row>
      <xdr:rowOff>19050</xdr:rowOff>
    </xdr:from>
    <xdr:ext cx="933449" cy="168120"/>
    <xdr:sp macro="" textlink="" fLocksText="0">
      <xdr:nvSpPr>
        <xdr:cNvPr id="308" name="Gefaltete Ecke 307">
          <a:extLst>
            <a:ext uri="{FF2B5EF4-FFF2-40B4-BE49-F238E27FC236}">
              <a16:creationId xmlns:a16="http://schemas.microsoft.com/office/drawing/2014/main" id="{00000000-0008-0000-0F00-000034010000}"/>
            </a:ext>
          </a:extLst>
        </xdr:cNvPr>
        <xdr:cNvSpPr/>
      </xdr:nvSpPr>
      <xdr:spPr>
        <a:xfrm>
          <a:off x="11915776" y="41910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1628776</xdr:colOff>
      <xdr:row>17</xdr:row>
      <xdr:rowOff>180975</xdr:rowOff>
    </xdr:from>
    <xdr:ext cx="933449" cy="168120"/>
    <xdr:sp macro="" textlink="" fLocksText="0">
      <xdr:nvSpPr>
        <xdr:cNvPr id="309" name="Gefaltete Ecke 308">
          <a:extLst>
            <a:ext uri="{FF2B5EF4-FFF2-40B4-BE49-F238E27FC236}">
              <a16:creationId xmlns:a16="http://schemas.microsoft.com/office/drawing/2014/main" id="{00000000-0008-0000-0F00-000035010000}"/>
            </a:ext>
          </a:extLst>
        </xdr:cNvPr>
        <xdr:cNvSpPr/>
      </xdr:nvSpPr>
      <xdr:spPr>
        <a:xfrm>
          <a:off x="13201651" y="39719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600076</xdr:colOff>
      <xdr:row>15</xdr:row>
      <xdr:rowOff>28575</xdr:rowOff>
    </xdr:from>
    <xdr:ext cx="933449" cy="168120"/>
    <xdr:sp macro="" textlink="" fLocksText="0">
      <xdr:nvSpPr>
        <xdr:cNvPr id="310" name="Gefaltete Ecke 309">
          <a:extLst>
            <a:ext uri="{FF2B5EF4-FFF2-40B4-BE49-F238E27FC236}">
              <a16:creationId xmlns:a16="http://schemas.microsoft.com/office/drawing/2014/main" id="{00000000-0008-0000-0F00-000036010000}"/>
            </a:ext>
          </a:extLst>
        </xdr:cNvPr>
        <xdr:cNvSpPr/>
      </xdr:nvSpPr>
      <xdr:spPr>
        <a:xfrm>
          <a:off x="12172951" y="34385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1609726</xdr:colOff>
      <xdr:row>10</xdr:row>
      <xdr:rowOff>161925</xdr:rowOff>
    </xdr:from>
    <xdr:ext cx="933449" cy="168120"/>
    <xdr:sp macro="" textlink="" fLocksText="0">
      <xdr:nvSpPr>
        <xdr:cNvPr id="311" name="Gefaltete Ecke 310">
          <a:extLst>
            <a:ext uri="{FF2B5EF4-FFF2-40B4-BE49-F238E27FC236}">
              <a16:creationId xmlns:a16="http://schemas.microsoft.com/office/drawing/2014/main" id="{00000000-0008-0000-0F00-000037010000}"/>
            </a:ext>
          </a:extLst>
        </xdr:cNvPr>
        <xdr:cNvSpPr/>
      </xdr:nvSpPr>
      <xdr:spPr>
        <a:xfrm>
          <a:off x="13182601" y="26193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238126</xdr:colOff>
      <xdr:row>22</xdr:row>
      <xdr:rowOff>152400</xdr:rowOff>
    </xdr:from>
    <xdr:ext cx="933449" cy="168120"/>
    <xdr:sp macro="" textlink="" fLocksText="0">
      <xdr:nvSpPr>
        <xdr:cNvPr id="312" name="Gefaltete Ecke 311">
          <a:extLst>
            <a:ext uri="{FF2B5EF4-FFF2-40B4-BE49-F238E27FC236}">
              <a16:creationId xmlns:a16="http://schemas.microsoft.com/office/drawing/2014/main" id="{00000000-0008-0000-0F00-000038010000}"/>
            </a:ext>
          </a:extLst>
        </xdr:cNvPr>
        <xdr:cNvSpPr/>
      </xdr:nvSpPr>
      <xdr:spPr>
        <a:xfrm>
          <a:off x="11811001" y="48958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1600201</xdr:colOff>
      <xdr:row>23</xdr:row>
      <xdr:rowOff>66675</xdr:rowOff>
    </xdr:from>
    <xdr:ext cx="933449" cy="168120"/>
    <xdr:sp macro="" textlink="" fLocksText="0">
      <xdr:nvSpPr>
        <xdr:cNvPr id="313" name="Gefaltete Ecke 312">
          <a:extLst>
            <a:ext uri="{FF2B5EF4-FFF2-40B4-BE49-F238E27FC236}">
              <a16:creationId xmlns:a16="http://schemas.microsoft.com/office/drawing/2014/main" id="{00000000-0008-0000-0F00-000039010000}"/>
            </a:ext>
          </a:extLst>
        </xdr:cNvPr>
        <xdr:cNvSpPr/>
      </xdr:nvSpPr>
      <xdr:spPr>
        <a:xfrm>
          <a:off x="13173076" y="50768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371476</xdr:colOff>
      <xdr:row>29</xdr:row>
      <xdr:rowOff>38100</xdr:rowOff>
    </xdr:from>
    <xdr:ext cx="933449" cy="168120"/>
    <xdr:sp macro="" textlink="" fLocksText="0">
      <xdr:nvSpPr>
        <xdr:cNvPr id="314" name="Gefaltete Ecke 313">
          <a:extLst>
            <a:ext uri="{FF2B5EF4-FFF2-40B4-BE49-F238E27FC236}">
              <a16:creationId xmlns:a16="http://schemas.microsoft.com/office/drawing/2014/main" id="{00000000-0008-0000-0F00-00003A010000}"/>
            </a:ext>
          </a:extLst>
        </xdr:cNvPr>
        <xdr:cNvSpPr/>
      </xdr:nvSpPr>
      <xdr:spPr>
        <a:xfrm>
          <a:off x="11944351" y="61912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1657351</xdr:colOff>
      <xdr:row>28</xdr:row>
      <xdr:rowOff>9525</xdr:rowOff>
    </xdr:from>
    <xdr:ext cx="933449" cy="168120"/>
    <xdr:sp macro="" textlink="" fLocksText="0">
      <xdr:nvSpPr>
        <xdr:cNvPr id="315" name="Gefaltete Ecke 314">
          <a:extLst>
            <a:ext uri="{FF2B5EF4-FFF2-40B4-BE49-F238E27FC236}">
              <a16:creationId xmlns:a16="http://schemas.microsoft.com/office/drawing/2014/main" id="{00000000-0008-0000-0F00-00003B010000}"/>
            </a:ext>
          </a:extLst>
        </xdr:cNvPr>
        <xdr:cNvSpPr/>
      </xdr:nvSpPr>
      <xdr:spPr>
        <a:xfrm>
          <a:off x="13230226" y="59721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628651</xdr:colOff>
      <xdr:row>25</xdr:row>
      <xdr:rowOff>47625</xdr:rowOff>
    </xdr:from>
    <xdr:ext cx="933449" cy="168120"/>
    <xdr:sp macro="" textlink="" fLocksText="0">
      <xdr:nvSpPr>
        <xdr:cNvPr id="316" name="Gefaltete Ecke 315">
          <a:extLst>
            <a:ext uri="{FF2B5EF4-FFF2-40B4-BE49-F238E27FC236}">
              <a16:creationId xmlns:a16="http://schemas.microsoft.com/office/drawing/2014/main" id="{00000000-0008-0000-0F00-00003C010000}"/>
            </a:ext>
          </a:extLst>
        </xdr:cNvPr>
        <xdr:cNvSpPr/>
      </xdr:nvSpPr>
      <xdr:spPr>
        <a:xfrm>
          <a:off x="12201526" y="54387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1638301</xdr:colOff>
      <xdr:row>21</xdr:row>
      <xdr:rowOff>66675</xdr:rowOff>
    </xdr:from>
    <xdr:ext cx="933449" cy="168120"/>
    <xdr:sp macro="" textlink="" fLocksText="0">
      <xdr:nvSpPr>
        <xdr:cNvPr id="317" name="Gefaltete Ecke 316">
          <a:extLst>
            <a:ext uri="{FF2B5EF4-FFF2-40B4-BE49-F238E27FC236}">
              <a16:creationId xmlns:a16="http://schemas.microsoft.com/office/drawing/2014/main" id="{00000000-0008-0000-0F00-00003D010000}"/>
            </a:ext>
          </a:extLst>
        </xdr:cNvPr>
        <xdr:cNvSpPr/>
      </xdr:nvSpPr>
      <xdr:spPr>
        <a:xfrm>
          <a:off x="13211176" y="46196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1714501</xdr:colOff>
      <xdr:row>41</xdr:row>
      <xdr:rowOff>47625</xdr:rowOff>
    </xdr:from>
    <xdr:ext cx="933449" cy="168120"/>
    <xdr:sp macro="" textlink="" fLocksText="0">
      <xdr:nvSpPr>
        <xdr:cNvPr id="318" name="Gefaltete Ecke 317">
          <a:extLst>
            <a:ext uri="{FF2B5EF4-FFF2-40B4-BE49-F238E27FC236}">
              <a16:creationId xmlns:a16="http://schemas.microsoft.com/office/drawing/2014/main" id="{00000000-0008-0000-0F00-00003E010000}"/>
            </a:ext>
          </a:extLst>
        </xdr:cNvPr>
        <xdr:cNvSpPr/>
      </xdr:nvSpPr>
      <xdr:spPr>
        <a:xfrm>
          <a:off x="2381251" y="85629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361951</xdr:colOff>
      <xdr:row>42</xdr:row>
      <xdr:rowOff>38100</xdr:rowOff>
    </xdr:from>
    <xdr:ext cx="933449" cy="168120"/>
    <xdr:sp macro="" textlink="" fLocksText="0">
      <xdr:nvSpPr>
        <xdr:cNvPr id="319" name="Gefaltete Ecke 318">
          <a:extLst>
            <a:ext uri="{FF2B5EF4-FFF2-40B4-BE49-F238E27FC236}">
              <a16:creationId xmlns:a16="http://schemas.microsoft.com/office/drawing/2014/main" id="{00000000-0008-0000-0F00-00003F010000}"/>
            </a:ext>
          </a:extLst>
        </xdr:cNvPr>
        <xdr:cNvSpPr/>
      </xdr:nvSpPr>
      <xdr:spPr>
        <a:xfrm>
          <a:off x="3743326" y="87439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1847851</xdr:colOff>
      <xdr:row>48</xdr:row>
      <xdr:rowOff>9525</xdr:rowOff>
    </xdr:from>
    <xdr:ext cx="933449" cy="168120"/>
    <xdr:sp macro="" textlink="" fLocksText="0">
      <xdr:nvSpPr>
        <xdr:cNvPr id="320" name="Gefaltete Ecke 319">
          <a:extLst>
            <a:ext uri="{FF2B5EF4-FFF2-40B4-BE49-F238E27FC236}">
              <a16:creationId xmlns:a16="http://schemas.microsoft.com/office/drawing/2014/main" id="{00000000-0008-0000-0F00-000040010000}"/>
            </a:ext>
          </a:extLst>
        </xdr:cNvPr>
        <xdr:cNvSpPr/>
      </xdr:nvSpPr>
      <xdr:spPr>
        <a:xfrm>
          <a:off x="2514601" y="98583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419101</xdr:colOff>
      <xdr:row>46</xdr:row>
      <xdr:rowOff>171450</xdr:rowOff>
    </xdr:from>
    <xdr:ext cx="933449" cy="168120"/>
    <xdr:sp macro="" textlink="" fLocksText="0">
      <xdr:nvSpPr>
        <xdr:cNvPr id="321" name="Gefaltete Ecke 320">
          <a:extLst>
            <a:ext uri="{FF2B5EF4-FFF2-40B4-BE49-F238E27FC236}">
              <a16:creationId xmlns:a16="http://schemas.microsoft.com/office/drawing/2014/main" id="{00000000-0008-0000-0F00-000041010000}"/>
            </a:ext>
          </a:extLst>
        </xdr:cNvPr>
        <xdr:cNvSpPr/>
      </xdr:nvSpPr>
      <xdr:spPr>
        <a:xfrm>
          <a:off x="3800476" y="96393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466726</xdr:colOff>
      <xdr:row>46</xdr:row>
      <xdr:rowOff>47625</xdr:rowOff>
    </xdr:from>
    <xdr:ext cx="933449" cy="168120"/>
    <xdr:sp macro="" textlink="" fLocksText="0">
      <xdr:nvSpPr>
        <xdr:cNvPr id="322" name="Gefaltete Ecke 321">
          <a:extLst>
            <a:ext uri="{FF2B5EF4-FFF2-40B4-BE49-F238E27FC236}">
              <a16:creationId xmlns:a16="http://schemas.microsoft.com/office/drawing/2014/main" id="{00000000-0008-0000-0F00-000042010000}"/>
            </a:ext>
          </a:extLst>
        </xdr:cNvPr>
        <xdr:cNvSpPr/>
      </xdr:nvSpPr>
      <xdr:spPr>
        <a:xfrm>
          <a:off x="1133476" y="95154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400051</xdr:colOff>
      <xdr:row>39</xdr:row>
      <xdr:rowOff>152400</xdr:rowOff>
    </xdr:from>
    <xdr:ext cx="933449" cy="168120"/>
    <xdr:sp macro="" textlink="" fLocksText="0">
      <xdr:nvSpPr>
        <xdr:cNvPr id="323" name="Gefaltete Ecke 322">
          <a:extLst>
            <a:ext uri="{FF2B5EF4-FFF2-40B4-BE49-F238E27FC236}">
              <a16:creationId xmlns:a16="http://schemas.microsoft.com/office/drawing/2014/main" id="{00000000-0008-0000-0F00-000043010000}"/>
            </a:ext>
          </a:extLst>
        </xdr:cNvPr>
        <xdr:cNvSpPr/>
      </xdr:nvSpPr>
      <xdr:spPr>
        <a:xfrm>
          <a:off x="3781426" y="82867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2495551</xdr:colOff>
      <xdr:row>41</xdr:row>
      <xdr:rowOff>114300</xdr:rowOff>
    </xdr:from>
    <xdr:ext cx="933449" cy="168120"/>
    <xdr:sp macro="" textlink="" fLocksText="0">
      <xdr:nvSpPr>
        <xdr:cNvPr id="324" name="Gefaltete Ecke 323">
          <a:extLst>
            <a:ext uri="{FF2B5EF4-FFF2-40B4-BE49-F238E27FC236}">
              <a16:creationId xmlns:a16="http://schemas.microsoft.com/office/drawing/2014/main" id="{00000000-0008-0000-0F00-000044010000}"/>
            </a:ext>
          </a:extLst>
        </xdr:cNvPr>
        <xdr:cNvSpPr/>
      </xdr:nvSpPr>
      <xdr:spPr>
        <a:xfrm>
          <a:off x="5876926" y="86296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2314576</xdr:colOff>
      <xdr:row>48</xdr:row>
      <xdr:rowOff>85725</xdr:rowOff>
    </xdr:from>
    <xdr:ext cx="933449" cy="168120"/>
    <xdr:sp macro="" textlink="" fLocksText="0">
      <xdr:nvSpPr>
        <xdr:cNvPr id="325" name="Gefaltete Ecke 324">
          <a:extLst>
            <a:ext uri="{FF2B5EF4-FFF2-40B4-BE49-F238E27FC236}">
              <a16:creationId xmlns:a16="http://schemas.microsoft.com/office/drawing/2014/main" id="{00000000-0008-0000-0F00-000045010000}"/>
            </a:ext>
          </a:extLst>
        </xdr:cNvPr>
        <xdr:cNvSpPr/>
      </xdr:nvSpPr>
      <xdr:spPr>
        <a:xfrm>
          <a:off x="5695951" y="99345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1876426</xdr:colOff>
      <xdr:row>44</xdr:row>
      <xdr:rowOff>152400</xdr:rowOff>
    </xdr:from>
    <xdr:ext cx="933449" cy="168120"/>
    <xdr:sp macro="" textlink="" fLocksText="0">
      <xdr:nvSpPr>
        <xdr:cNvPr id="326" name="Gefaltete Ecke 325">
          <a:extLst>
            <a:ext uri="{FF2B5EF4-FFF2-40B4-BE49-F238E27FC236}">
              <a16:creationId xmlns:a16="http://schemas.microsoft.com/office/drawing/2014/main" id="{00000000-0008-0000-0F00-000046010000}"/>
            </a:ext>
          </a:extLst>
        </xdr:cNvPr>
        <xdr:cNvSpPr/>
      </xdr:nvSpPr>
      <xdr:spPr>
        <a:xfrm>
          <a:off x="5257801" y="92392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1838326</xdr:colOff>
      <xdr:row>44</xdr:row>
      <xdr:rowOff>47625</xdr:rowOff>
    </xdr:from>
    <xdr:ext cx="933449" cy="168120"/>
    <xdr:sp macro="" textlink="" fLocksText="0">
      <xdr:nvSpPr>
        <xdr:cNvPr id="327" name="Gefaltete Ecke 326">
          <a:extLst>
            <a:ext uri="{FF2B5EF4-FFF2-40B4-BE49-F238E27FC236}">
              <a16:creationId xmlns:a16="http://schemas.microsoft.com/office/drawing/2014/main" id="{00000000-0008-0000-0F00-000047010000}"/>
            </a:ext>
          </a:extLst>
        </xdr:cNvPr>
        <xdr:cNvSpPr/>
      </xdr:nvSpPr>
      <xdr:spPr>
        <a:xfrm>
          <a:off x="2505076" y="91344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647701</xdr:colOff>
      <xdr:row>41</xdr:row>
      <xdr:rowOff>171450</xdr:rowOff>
    </xdr:from>
    <xdr:ext cx="933449" cy="168120"/>
    <xdr:sp macro="" textlink="" fLocksText="0">
      <xdr:nvSpPr>
        <xdr:cNvPr id="337" name="Gefaltete Ecke 336">
          <a:extLst>
            <a:ext uri="{FF2B5EF4-FFF2-40B4-BE49-F238E27FC236}">
              <a16:creationId xmlns:a16="http://schemas.microsoft.com/office/drawing/2014/main" id="{00000000-0008-0000-0F00-000051010000}"/>
            </a:ext>
          </a:extLst>
        </xdr:cNvPr>
        <xdr:cNvSpPr/>
      </xdr:nvSpPr>
      <xdr:spPr>
        <a:xfrm>
          <a:off x="9505951" y="86868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2009776</xdr:colOff>
      <xdr:row>42</xdr:row>
      <xdr:rowOff>161925</xdr:rowOff>
    </xdr:from>
    <xdr:ext cx="933449" cy="168120"/>
    <xdr:sp macro="" textlink="" fLocksText="0">
      <xdr:nvSpPr>
        <xdr:cNvPr id="338" name="Gefaltete Ecke 337">
          <a:extLst>
            <a:ext uri="{FF2B5EF4-FFF2-40B4-BE49-F238E27FC236}">
              <a16:creationId xmlns:a16="http://schemas.microsoft.com/office/drawing/2014/main" id="{00000000-0008-0000-0F00-000052010000}"/>
            </a:ext>
          </a:extLst>
        </xdr:cNvPr>
        <xdr:cNvSpPr/>
      </xdr:nvSpPr>
      <xdr:spPr>
        <a:xfrm>
          <a:off x="10868026" y="88677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781051</xdr:colOff>
      <xdr:row>48</xdr:row>
      <xdr:rowOff>133350</xdr:rowOff>
    </xdr:from>
    <xdr:ext cx="933449" cy="168120"/>
    <xdr:sp macro="" textlink="" fLocksText="0">
      <xdr:nvSpPr>
        <xdr:cNvPr id="339" name="Gefaltete Ecke 338">
          <a:extLst>
            <a:ext uri="{FF2B5EF4-FFF2-40B4-BE49-F238E27FC236}">
              <a16:creationId xmlns:a16="http://schemas.microsoft.com/office/drawing/2014/main" id="{00000000-0008-0000-0F00-000053010000}"/>
            </a:ext>
          </a:extLst>
        </xdr:cNvPr>
        <xdr:cNvSpPr/>
      </xdr:nvSpPr>
      <xdr:spPr>
        <a:xfrm>
          <a:off x="9639301" y="99822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2066926</xdr:colOff>
      <xdr:row>47</xdr:row>
      <xdr:rowOff>104775</xdr:rowOff>
    </xdr:from>
    <xdr:ext cx="933449" cy="168120"/>
    <xdr:sp macro="" textlink="" fLocksText="0">
      <xdr:nvSpPr>
        <xdr:cNvPr id="340" name="Gefaltete Ecke 339">
          <a:extLst>
            <a:ext uri="{FF2B5EF4-FFF2-40B4-BE49-F238E27FC236}">
              <a16:creationId xmlns:a16="http://schemas.microsoft.com/office/drawing/2014/main" id="{00000000-0008-0000-0F00-000054010000}"/>
            </a:ext>
          </a:extLst>
        </xdr:cNvPr>
        <xdr:cNvSpPr/>
      </xdr:nvSpPr>
      <xdr:spPr>
        <a:xfrm>
          <a:off x="10925176" y="97631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781051</xdr:colOff>
      <xdr:row>46</xdr:row>
      <xdr:rowOff>171450</xdr:rowOff>
    </xdr:from>
    <xdr:ext cx="933449" cy="168120"/>
    <xdr:sp macro="" textlink="" fLocksText="0">
      <xdr:nvSpPr>
        <xdr:cNvPr id="341" name="Gefaltete Ecke 340">
          <a:extLst>
            <a:ext uri="{FF2B5EF4-FFF2-40B4-BE49-F238E27FC236}">
              <a16:creationId xmlns:a16="http://schemas.microsoft.com/office/drawing/2014/main" id="{00000000-0008-0000-0F00-000055010000}"/>
            </a:ext>
          </a:extLst>
        </xdr:cNvPr>
        <xdr:cNvSpPr/>
      </xdr:nvSpPr>
      <xdr:spPr>
        <a:xfrm>
          <a:off x="8258176" y="96393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2047876</xdr:colOff>
      <xdr:row>40</xdr:row>
      <xdr:rowOff>85725</xdr:rowOff>
    </xdr:from>
    <xdr:ext cx="933449" cy="168120"/>
    <xdr:sp macro="" textlink="" fLocksText="0">
      <xdr:nvSpPr>
        <xdr:cNvPr id="342" name="Gefaltete Ecke 341">
          <a:extLst>
            <a:ext uri="{FF2B5EF4-FFF2-40B4-BE49-F238E27FC236}">
              <a16:creationId xmlns:a16="http://schemas.microsoft.com/office/drawing/2014/main" id="{00000000-0008-0000-0F00-000056010000}"/>
            </a:ext>
          </a:extLst>
        </xdr:cNvPr>
        <xdr:cNvSpPr/>
      </xdr:nvSpPr>
      <xdr:spPr>
        <a:xfrm>
          <a:off x="10906126" y="84105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1114426</xdr:colOff>
      <xdr:row>42</xdr:row>
      <xdr:rowOff>57150</xdr:rowOff>
    </xdr:from>
    <xdr:ext cx="933449" cy="168120"/>
    <xdr:sp macro="" textlink="" fLocksText="0">
      <xdr:nvSpPr>
        <xdr:cNvPr id="343" name="Gefaltete Ecke 342">
          <a:extLst>
            <a:ext uri="{FF2B5EF4-FFF2-40B4-BE49-F238E27FC236}">
              <a16:creationId xmlns:a16="http://schemas.microsoft.com/office/drawing/2014/main" id="{00000000-0008-0000-0F00-000057010000}"/>
            </a:ext>
          </a:extLst>
        </xdr:cNvPr>
        <xdr:cNvSpPr/>
      </xdr:nvSpPr>
      <xdr:spPr>
        <a:xfrm>
          <a:off x="12687301" y="87630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1247776</xdr:colOff>
      <xdr:row>49</xdr:row>
      <xdr:rowOff>19050</xdr:rowOff>
    </xdr:from>
    <xdr:ext cx="933449" cy="168120"/>
    <xdr:sp macro="" textlink="" fLocksText="0">
      <xdr:nvSpPr>
        <xdr:cNvPr id="344" name="Gefaltete Ecke 343">
          <a:extLst>
            <a:ext uri="{FF2B5EF4-FFF2-40B4-BE49-F238E27FC236}">
              <a16:creationId xmlns:a16="http://schemas.microsoft.com/office/drawing/2014/main" id="{00000000-0008-0000-0F00-000058010000}"/>
            </a:ext>
          </a:extLst>
        </xdr:cNvPr>
        <xdr:cNvSpPr/>
      </xdr:nvSpPr>
      <xdr:spPr>
        <a:xfrm>
          <a:off x="12820651" y="100584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809626</xdr:colOff>
      <xdr:row>45</xdr:row>
      <xdr:rowOff>47625</xdr:rowOff>
    </xdr:from>
    <xdr:ext cx="933449" cy="168120"/>
    <xdr:sp macro="" textlink="" fLocksText="0">
      <xdr:nvSpPr>
        <xdr:cNvPr id="345" name="Gefaltete Ecke 344">
          <a:extLst>
            <a:ext uri="{FF2B5EF4-FFF2-40B4-BE49-F238E27FC236}">
              <a16:creationId xmlns:a16="http://schemas.microsoft.com/office/drawing/2014/main" id="{00000000-0008-0000-0F00-000059010000}"/>
            </a:ext>
          </a:extLst>
        </xdr:cNvPr>
        <xdr:cNvSpPr/>
      </xdr:nvSpPr>
      <xdr:spPr>
        <a:xfrm>
          <a:off x="12382501" y="93249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771526</xdr:colOff>
      <xdr:row>44</xdr:row>
      <xdr:rowOff>171450</xdr:rowOff>
    </xdr:from>
    <xdr:ext cx="933449" cy="168120"/>
    <xdr:sp macro="" textlink="" fLocksText="0">
      <xdr:nvSpPr>
        <xdr:cNvPr id="346" name="Gefaltete Ecke 345">
          <a:extLst>
            <a:ext uri="{FF2B5EF4-FFF2-40B4-BE49-F238E27FC236}">
              <a16:creationId xmlns:a16="http://schemas.microsoft.com/office/drawing/2014/main" id="{00000000-0008-0000-0F00-00005A010000}"/>
            </a:ext>
          </a:extLst>
        </xdr:cNvPr>
        <xdr:cNvSpPr/>
      </xdr:nvSpPr>
      <xdr:spPr>
        <a:xfrm>
          <a:off x="9629776" y="92583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533401</xdr:colOff>
      <xdr:row>33</xdr:row>
      <xdr:rowOff>47625</xdr:rowOff>
    </xdr:from>
    <xdr:ext cx="933449" cy="168120"/>
    <xdr:sp macro="" textlink="" fLocksText="0">
      <xdr:nvSpPr>
        <xdr:cNvPr id="347" name="Gefaltete Ecke 346">
          <a:extLst>
            <a:ext uri="{FF2B5EF4-FFF2-40B4-BE49-F238E27FC236}">
              <a16:creationId xmlns:a16="http://schemas.microsoft.com/office/drawing/2014/main" id="{00000000-0008-0000-0F00-00005B010000}"/>
            </a:ext>
          </a:extLst>
        </xdr:cNvPr>
        <xdr:cNvSpPr/>
      </xdr:nvSpPr>
      <xdr:spPr>
        <a:xfrm>
          <a:off x="12106276" y="69627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2657476</xdr:colOff>
      <xdr:row>45</xdr:row>
      <xdr:rowOff>123825</xdr:rowOff>
    </xdr:from>
    <xdr:ext cx="933449" cy="168120"/>
    <xdr:sp macro="" textlink="" fLocksText="0">
      <xdr:nvSpPr>
        <xdr:cNvPr id="348" name="Gefaltete Ecke 347">
          <a:extLst>
            <a:ext uri="{FF2B5EF4-FFF2-40B4-BE49-F238E27FC236}">
              <a16:creationId xmlns:a16="http://schemas.microsoft.com/office/drawing/2014/main" id="{00000000-0008-0000-0F00-00005C010000}"/>
            </a:ext>
          </a:extLst>
        </xdr:cNvPr>
        <xdr:cNvSpPr/>
      </xdr:nvSpPr>
      <xdr:spPr>
        <a:xfrm>
          <a:off x="6038851" y="94011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133" name="Gruppieren 13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F00-000085000000}"/>
            </a:ext>
          </a:extLst>
        </xdr:cNvPr>
        <xdr:cNvGrpSpPr/>
      </xdr:nvGrpSpPr>
      <xdr:grpSpPr>
        <a:xfrm>
          <a:off x="76200" y="114300"/>
          <a:ext cx="324000" cy="325465"/>
          <a:chOff x="12729063" y="1298331"/>
          <a:chExt cx="324000" cy="323267"/>
        </a:xfrm>
      </xdr:grpSpPr>
      <xdr:sp macro="" textlink="">
        <xdr:nvSpPr>
          <xdr:cNvPr id="134" name="Rechteck 133">
            <a:extLst>
              <a:ext uri="{FF2B5EF4-FFF2-40B4-BE49-F238E27FC236}">
                <a16:creationId xmlns:a16="http://schemas.microsoft.com/office/drawing/2014/main" id="{00000000-0008-0000-0F00-000086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35" name="Grafik 134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F00-00008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504825</xdr:colOff>
          <xdr:row>0</xdr:row>
          <xdr:rowOff>28575</xdr:rowOff>
        </xdr:from>
        <xdr:to>
          <xdr:col>7</xdr:col>
          <xdr:colOff>2712720</xdr:colOff>
          <xdr:row>0</xdr:row>
          <xdr:rowOff>561975</xdr:rowOff>
        </xdr:to>
        <xdr:pic>
          <xdr:nvPicPr>
            <xdr:cNvPr id="136" name="Grafik 59">
              <a:extLst>
                <a:ext uri="{FF2B5EF4-FFF2-40B4-BE49-F238E27FC236}">
                  <a16:creationId xmlns:a16="http://schemas.microsoft.com/office/drawing/2014/main" id="{00000000-0008-0000-0F00-00008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31093"/>
                </a:ext>
              </a:extLst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12077700" y="28575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11</xdr:row>
          <xdr:rowOff>19137</xdr:rowOff>
        </xdr:from>
        <xdr:to>
          <xdr:col>16</xdr:col>
          <xdr:colOff>132300</xdr:colOff>
          <xdr:row>11</xdr:row>
          <xdr:rowOff>222853</xdr:rowOff>
        </xdr:to>
        <xdr:grpSp>
          <xdr:nvGrpSpPr>
            <xdr:cNvPr id="2" name="Gruppieren 1">
              <a:extLst>
                <a:ext uri="{FF2B5EF4-FFF2-40B4-BE49-F238E27FC236}">
                  <a16:creationId xmlns:a16="http://schemas.microsoft.com/office/drawing/2014/main" id="{00000000-0008-0000-1000-000002000000}"/>
                </a:ext>
              </a:extLst>
            </xdr:cNvPr>
            <xdr:cNvGrpSpPr/>
          </xdr:nvGrpSpPr>
          <xdr:grpSpPr>
            <a:xfrm>
              <a:off x="4427409" y="2655657"/>
              <a:ext cx="2341911" cy="203716"/>
              <a:chOff x="3581386" y="2105144"/>
              <a:chExt cx="2247892" cy="276225"/>
            </a:xfrm>
          </xdr:grpSpPr>
          <xdr:sp macro="" textlink="">
            <xdr:nvSpPr>
              <xdr:cNvPr id="38913" name="Group Box 1" hidden="1">
                <a:extLst>
                  <a:ext uri="{63B3BB69-23CF-44E3-9099-C40C66FF867C}">
                    <a14:compatExt spid="_x0000_s38913"/>
                  </a:ext>
                  <a:ext uri="{FF2B5EF4-FFF2-40B4-BE49-F238E27FC236}">
                    <a16:creationId xmlns:a16="http://schemas.microsoft.com/office/drawing/2014/main" id="{00000000-0008-0000-1000-000001980000}"/>
                  </a:ext>
                </a:extLst>
              </xdr:cNvPr>
              <xdr:cNvSpPr/>
            </xdr:nvSpPr>
            <xdr:spPr bwMode="auto">
              <a:xfrm>
                <a:off x="3581386" y="2105144"/>
                <a:ext cx="2247892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14" name="Option Button 2" hidden="1">
                <a:extLst>
                  <a:ext uri="{63B3BB69-23CF-44E3-9099-C40C66FF867C}">
                    <a14:compatExt spid="_x0000_s38914"/>
                  </a:ext>
                  <a:ext uri="{FF2B5EF4-FFF2-40B4-BE49-F238E27FC236}">
                    <a16:creationId xmlns:a16="http://schemas.microsoft.com/office/drawing/2014/main" id="{00000000-0008-0000-1000-000002980000}"/>
                  </a:ext>
                </a:extLst>
              </xdr:cNvPr>
              <xdr:cNvSpPr/>
            </xdr:nvSpPr>
            <xdr:spPr bwMode="auto">
              <a:xfrm>
                <a:off x="3705222" y="215264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15" name="Option Button 3" hidden="1">
                <a:extLst>
                  <a:ext uri="{63B3BB69-23CF-44E3-9099-C40C66FF867C}">
                    <a14:compatExt spid="_x0000_s38915"/>
                  </a:ext>
                  <a:ext uri="{FF2B5EF4-FFF2-40B4-BE49-F238E27FC236}">
                    <a16:creationId xmlns:a16="http://schemas.microsoft.com/office/drawing/2014/main" id="{00000000-0008-0000-1000-000003980000}"/>
                  </a:ext>
                </a:extLst>
              </xdr:cNvPr>
              <xdr:cNvSpPr/>
            </xdr:nvSpPr>
            <xdr:spPr bwMode="auto">
              <a:xfrm>
                <a:off x="4143371" y="215264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16" name="Option Button 4" hidden="1">
                <a:extLst>
                  <a:ext uri="{63B3BB69-23CF-44E3-9099-C40C66FF867C}">
                    <a14:compatExt spid="_x0000_s38916"/>
                  </a:ext>
                  <a:ext uri="{FF2B5EF4-FFF2-40B4-BE49-F238E27FC236}">
                    <a16:creationId xmlns:a16="http://schemas.microsoft.com/office/drawing/2014/main" id="{00000000-0008-0000-1000-000004980000}"/>
                  </a:ext>
                </a:extLst>
              </xdr:cNvPr>
              <xdr:cNvSpPr/>
            </xdr:nvSpPr>
            <xdr:spPr bwMode="auto">
              <a:xfrm>
                <a:off x="4581519" y="2152645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17" name="Option Button 5" hidden="1">
                <a:extLst>
                  <a:ext uri="{63B3BB69-23CF-44E3-9099-C40C66FF867C}">
                    <a14:compatExt spid="_x0000_s38917"/>
                  </a:ext>
                  <a:ext uri="{FF2B5EF4-FFF2-40B4-BE49-F238E27FC236}">
                    <a16:creationId xmlns:a16="http://schemas.microsoft.com/office/drawing/2014/main" id="{00000000-0008-0000-1000-000005980000}"/>
                  </a:ext>
                </a:extLst>
              </xdr:cNvPr>
              <xdr:cNvSpPr/>
            </xdr:nvSpPr>
            <xdr:spPr bwMode="auto">
              <a:xfrm>
                <a:off x="5019669" y="215264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18" name="Option Button 6" hidden="1">
                <a:extLst>
                  <a:ext uri="{63B3BB69-23CF-44E3-9099-C40C66FF867C}">
                    <a14:compatExt spid="_x0000_s38918"/>
                  </a:ext>
                  <a:ext uri="{FF2B5EF4-FFF2-40B4-BE49-F238E27FC236}">
                    <a16:creationId xmlns:a16="http://schemas.microsoft.com/office/drawing/2014/main" id="{00000000-0008-0000-1000-000006980000}"/>
                  </a:ext>
                </a:extLst>
              </xdr:cNvPr>
              <xdr:cNvSpPr/>
            </xdr:nvSpPr>
            <xdr:spPr bwMode="auto">
              <a:xfrm>
                <a:off x="5457824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76406</xdr:colOff>
          <xdr:row>12</xdr:row>
          <xdr:rowOff>28557</xdr:rowOff>
        </xdr:from>
        <xdr:to>
          <xdr:col>16</xdr:col>
          <xdr:colOff>132308</xdr:colOff>
          <xdr:row>12</xdr:row>
          <xdr:rowOff>232265</xdr:rowOff>
        </xdr:to>
        <xdr:grpSp>
          <xdr:nvGrpSpPr>
            <xdr:cNvPr id="9" name="Gruppieren 8">
              <a:extLst>
                <a:ext uri="{FF2B5EF4-FFF2-40B4-BE49-F238E27FC236}">
                  <a16:creationId xmlns:a16="http://schemas.microsoft.com/office/drawing/2014/main" id="{00000000-0008-0000-1000-000009000000}"/>
                </a:ext>
              </a:extLst>
            </xdr:cNvPr>
            <xdr:cNvGrpSpPr/>
          </xdr:nvGrpSpPr>
          <xdr:grpSpPr>
            <a:xfrm>
              <a:off x="4427426" y="3061317"/>
              <a:ext cx="2341902" cy="203708"/>
              <a:chOff x="3581406" y="2104355"/>
              <a:chExt cx="2247901" cy="276223"/>
            </a:xfrm>
          </xdr:grpSpPr>
          <xdr:sp macro="" textlink="">
            <xdr:nvSpPr>
              <xdr:cNvPr id="38919" name="Group Box 7" hidden="1">
                <a:extLst>
                  <a:ext uri="{63B3BB69-23CF-44E3-9099-C40C66FF867C}">
                    <a14:compatExt spid="_x0000_s38919"/>
                  </a:ext>
                  <a:ext uri="{FF2B5EF4-FFF2-40B4-BE49-F238E27FC236}">
                    <a16:creationId xmlns:a16="http://schemas.microsoft.com/office/drawing/2014/main" id="{00000000-0008-0000-1000-000007980000}"/>
                  </a:ext>
                </a:extLst>
              </xdr:cNvPr>
              <xdr:cNvSpPr/>
            </xdr:nvSpPr>
            <xdr:spPr bwMode="auto">
              <a:xfrm>
                <a:off x="3581406" y="2104355"/>
                <a:ext cx="2247901" cy="2762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20" name="Option Button 8" hidden="1">
                <a:extLst>
                  <a:ext uri="{63B3BB69-23CF-44E3-9099-C40C66FF867C}">
                    <a14:compatExt spid="_x0000_s38920"/>
                  </a:ext>
                  <a:ext uri="{FF2B5EF4-FFF2-40B4-BE49-F238E27FC236}">
                    <a16:creationId xmlns:a16="http://schemas.microsoft.com/office/drawing/2014/main" id="{00000000-0008-0000-1000-000008980000}"/>
                  </a:ext>
                </a:extLst>
              </xdr:cNvPr>
              <xdr:cNvSpPr/>
            </xdr:nvSpPr>
            <xdr:spPr bwMode="auto">
              <a:xfrm>
                <a:off x="37052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1" name="Option Button 9" hidden="1">
                <a:extLst>
                  <a:ext uri="{63B3BB69-23CF-44E3-9099-C40C66FF867C}">
                    <a14:compatExt spid="_x0000_s38921"/>
                  </a:ext>
                  <a:ext uri="{FF2B5EF4-FFF2-40B4-BE49-F238E27FC236}">
                    <a16:creationId xmlns:a16="http://schemas.microsoft.com/office/drawing/2014/main" id="{00000000-0008-0000-1000-000009980000}"/>
                  </a:ext>
                </a:extLst>
              </xdr:cNvPr>
              <xdr:cNvSpPr/>
            </xdr:nvSpPr>
            <xdr:spPr bwMode="auto">
              <a:xfrm>
                <a:off x="4143374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2" name="Option Button 10" hidden="1">
                <a:extLst>
                  <a:ext uri="{63B3BB69-23CF-44E3-9099-C40C66FF867C}">
                    <a14:compatExt spid="_x0000_s38922"/>
                  </a:ext>
                  <a:ext uri="{FF2B5EF4-FFF2-40B4-BE49-F238E27FC236}">
                    <a16:creationId xmlns:a16="http://schemas.microsoft.com/office/drawing/2014/main" id="{00000000-0008-0000-1000-00000A980000}"/>
                  </a:ext>
                </a:extLst>
              </xdr:cNvPr>
              <xdr:cNvSpPr/>
            </xdr:nvSpPr>
            <xdr:spPr bwMode="auto">
              <a:xfrm>
                <a:off x="4581526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3" name="Option Button 11" hidden="1">
                <a:extLst>
                  <a:ext uri="{63B3BB69-23CF-44E3-9099-C40C66FF867C}">
                    <a14:compatExt spid="_x0000_s38923"/>
                  </a:ext>
                  <a:ext uri="{FF2B5EF4-FFF2-40B4-BE49-F238E27FC236}">
                    <a16:creationId xmlns:a16="http://schemas.microsoft.com/office/drawing/2014/main" id="{00000000-0008-0000-1000-00000B980000}"/>
                  </a:ext>
                </a:extLst>
              </xdr:cNvPr>
              <xdr:cNvSpPr/>
            </xdr:nvSpPr>
            <xdr:spPr bwMode="auto">
              <a:xfrm>
                <a:off x="501967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4" name="Option Button 12" hidden="1">
                <a:extLst>
                  <a:ext uri="{63B3BB69-23CF-44E3-9099-C40C66FF867C}">
                    <a14:compatExt spid="_x0000_s38924"/>
                  </a:ext>
                  <a:ext uri="{FF2B5EF4-FFF2-40B4-BE49-F238E27FC236}">
                    <a16:creationId xmlns:a16="http://schemas.microsoft.com/office/drawing/2014/main" id="{00000000-0008-0000-1000-00000C980000}"/>
                  </a:ext>
                </a:extLst>
              </xdr:cNvPr>
              <xdr:cNvSpPr/>
            </xdr:nvSpPr>
            <xdr:spPr bwMode="auto">
              <a:xfrm>
                <a:off x="54578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76387</xdr:colOff>
          <xdr:row>12</xdr:row>
          <xdr:rowOff>390629</xdr:rowOff>
        </xdr:from>
        <xdr:to>
          <xdr:col>16</xdr:col>
          <xdr:colOff>132298</xdr:colOff>
          <xdr:row>13</xdr:row>
          <xdr:rowOff>184584</xdr:rowOff>
        </xdr:to>
        <xdr:grpSp>
          <xdr:nvGrpSpPr>
            <xdr:cNvPr id="16" name="Gruppieren 15">
              <a:extLst>
                <a:ext uri="{FF2B5EF4-FFF2-40B4-BE49-F238E27FC236}">
                  <a16:creationId xmlns:a16="http://schemas.microsoft.com/office/drawing/2014/main" id="{00000000-0008-0000-1000-000010000000}"/>
                </a:ext>
              </a:extLst>
            </xdr:cNvPr>
            <xdr:cNvGrpSpPr/>
          </xdr:nvGrpSpPr>
          <xdr:grpSpPr>
            <a:xfrm>
              <a:off x="4427407" y="3423389"/>
              <a:ext cx="2341911" cy="190195"/>
              <a:chOff x="3581388" y="2105164"/>
              <a:chExt cx="2247895" cy="276225"/>
            </a:xfrm>
          </xdr:grpSpPr>
          <xdr:sp macro="" textlink="">
            <xdr:nvSpPr>
              <xdr:cNvPr id="38925" name="Group Box 13" hidden="1">
                <a:extLst>
                  <a:ext uri="{63B3BB69-23CF-44E3-9099-C40C66FF867C}">
                    <a14:compatExt spid="_x0000_s38925"/>
                  </a:ext>
                  <a:ext uri="{FF2B5EF4-FFF2-40B4-BE49-F238E27FC236}">
                    <a16:creationId xmlns:a16="http://schemas.microsoft.com/office/drawing/2014/main" id="{00000000-0008-0000-1000-00000D980000}"/>
                  </a:ext>
                </a:extLst>
              </xdr:cNvPr>
              <xdr:cNvSpPr/>
            </xdr:nvSpPr>
            <xdr:spPr bwMode="auto">
              <a:xfrm>
                <a:off x="3581388" y="210516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26" name="Option Button 14" hidden="1">
                <a:extLst>
                  <a:ext uri="{63B3BB69-23CF-44E3-9099-C40C66FF867C}">
                    <a14:compatExt spid="_x0000_s38926"/>
                  </a:ext>
                  <a:ext uri="{FF2B5EF4-FFF2-40B4-BE49-F238E27FC236}">
                    <a16:creationId xmlns:a16="http://schemas.microsoft.com/office/drawing/2014/main" id="{00000000-0008-0000-1000-00000E9800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7" name="Option Button 15" hidden="1">
                <a:extLst>
                  <a:ext uri="{63B3BB69-23CF-44E3-9099-C40C66FF867C}">
                    <a14:compatExt spid="_x0000_s38927"/>
                  </a:ext>
                  <a:ext uri="{FF2B5EF4-FFF2-40B4-BE49-F238E27FC236}">
                    <a16:creationId xmlns:a16="http://schemas.microsoft.com/office/drawing/2014/main" id="{00000000-0008-0000-1000-00000F9800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8" name="Option Button 16" hidden="1">
                <a:extLst>
                  <a:ext uri="{63B3BB69-23CF-44E3-9099-C40C66FF867C}">
                    <a14:compatExt spid="_x0000_s38928"/>
                  </a:ext>
                  <a:ext uri="{FF2B5EF4-FFF2-40B4-BE49-F238E27FC236}">
                    <a16:creationId xmlns:a16="http://schemas.microsoft.com/office/drawing/2014/main" id="{00000000-0008-0000-1000-0000109800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9" name="Option Button 17" hidden="1">
                <a:extLst>
                  <a:ext uri="{63B3BB69-23CF-44E3-9099-C40C66FF867C}">
                    <a14:compatExt spid="_x0000_s38929"/>
                  </a:ext>
                  <a:ext uri="{FF2B5EF4-FFF2-40B4-BE49-F238E27FC236}">
                    <a16:creationId xmlns:a16="http://schemas.microsoft.com/office/drawing/2014/main" id="{00000000-0008-0000-1000-0000119800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30" name="Option Button 18" hidden="1">
                <a:extLst>
                  <a:ext uri="{63B3BB69-23CF-44E3-9099-C40C66FF867C}">
                    <a14:compatExt spid="_x0000_s38930"/>
                  </a:ext>
                  <a:ext uri="{FF2B5EF4-FFF2-40B4-BE49-F238E27FC236}">
                    <a16:creationId xmlns:a16="http://schemas.microsoft.com/office/drawing/2014/main" id="{00000000-0008-0000-1000-0000129800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15</xdr:row>
          <xdr:rowOff>19087</xdr:rowOff>
        </xdr:from>
        <xdr:to>
          <xdr:col>16</xdr:col>
          <xdr:colOff>132300</xdr:colOff>
          <xdr:row>15</xdr:row>
          <xdr:rowOff>203957</xdr:rowOff>
        </xdr:to>
        <xdr:grpSp>
          <xdr:nvGrpSpPr>
            <xdr:cNvPr id="23" name="Gruppieren 22">
              <a:extLst>
                <a:ext uri="{FF2B5EF4-FFF2-40B4-BE49-F238E27FC236}">
                  <a16:creationId xmlns:a16="http://schemas.microsoft.com/office/drawing/2014/main" id="{00000000-0008-0000-1000-000017000000}"/>
                </a:ext>
              </a:extLst>
            </xdr:cNvPr>
            <xdr:cNvGrpSpPr/>
          </xdr:nvGrpSpPr>
          <xdr:grpSpPr>
            <a:xfrm>
              <a:off x="4427409" y="3874807"/>
              <a:ext cx="2341911" cy="184870"/>
              <a:chOff x="3581389" y="2104614"/>
              <a:chExt cx="2247895" cy="276222"/>
            </a:xfrm>
          </xdr:grpSpPr>
          <xdr:sp macro="" textlink="">
            <xdr:nvSpPr>
              <xdr:cNvPr id="38931" name="Group Box 19" hidden="1">
                <a:extLst>
                  <a:ext uri="{63B3BB69-23CF-44E3-9099-C40C66FF867C}">
                    <a14:compatExt spid="_x0000_s38931"/>
                  </a:ext>
                  <a:ext uri="{FF2B5EF4-FFF2-40B4-BE49-F238E27FC236}">
                    <a16:creationId xmlns:a16="http://schemas.microsoft.com/office/drawing/2014/main" id="{00000000-0008-0000-1000-000013980000}"/>
                  </a:ext>
                </a:extLst>
              </xdr:cNvPr>
              <xdr:cNvSpPr/>
            </xdr:nvSpPr>
            <xdr:spPr bwMode="auto">
              <a:xfrm>
                <a:off x="3581389" y="2104614"/>
                <a:ext cx="2247895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32" name="Option Button 20" hidden="1">
                <a:extLst>
                  <a:ext uri="{63B3BB69-23CF-44E3-9099-C40C66FF867C}">
                    <a14:compatExt spid="_x0000_s38932"/>
                  </a:ext>
                  <a:ext uri="{FF2B5EF4-FFF2-40B4-BE49-F238E27FC236}">
                    <a16:creationId xmlns:a16="http://schemas.microsoft.com/office/drawing/2014/main" id="{00000000-0008-0000-1000-000014980000}"/>
                  </a:ext>
                </a:extLst>
              </xdr:cNvPr>
              <xdr:cNvSpPr/>
            </xdr:nvSpPr>
            <xdr:spPr bwMode="auto">
              <a:xfrm>
                <a:off x="3705226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33" name="Option Button 21" hidden="1">
                <a:extLst>
                  <a:ext uri="{63B3BB69-23CF-44E3-9099-C40C66FF867C}">
                    <a14:compatExt spid="_x0000_s38933"/>
                  </a:ext>
                  <a:ext uri="{FF2B5EF4-FFF2-40B4-BE49-F238E27FC236}">
                    <a16:creationId xmlns:a16="http://schemas.microsoft.com/office/drawing/2014/main" id="{00000000-0008-0000-1000-000015980000}"/>
                  </a:ext>
                </a:extLst>
              </xdr:cNvPr>
              <xdr:cNvSpPr/>
            </xdr:nvSpPr>
            <xdr:spPr bwMode="auto">
              <a:xfrm>
                <a:off x="4143376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34" name="Option Button 22" hidden="1">
                <a:extLst>
                  <a:ext uri="{63B3BB69-23CF-44E3-9099-C40C66FF867C}">
                    <a14:compatExt spid="_x0000_s38934"/>
                  </a:ext>
                  <a:ext uri="{FF2B5EF4-FFF2-40B4-BE49-F238E27FC236}">
                    <a16:creationId xmlns:a16="http://schemas.microsoft.com/office/drawing/2014/main" id="{00000000-0008-0000-1000-000016980000}"/>
                  </a:ext>
                </a:extLst>
              </xdr:cNvPr>
              <xdr:cNvSpPr/>
            </xdr:nvSpPr>
            <xdr:spPr bwMode="auto">
              <a:xfrm>
                <a:off x="4581525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35" name="Option Button 23" hidden="1">
                <a:extLst>
                  <a:ext uri="{63B3BB69-23CF-44E3-9099-C40C66FF867C}">
                    <a14:compatExt spid="_x0000_s38935"/>
                  </a:ext>
                  <a:ext uri="{FF2B5EF4-FFF2-40B4-BE49-F238E27FC236}">
                    <a16:creationId xmlns:a16="http://schemas.microsoft.com/office/drawing/2014/main" id="{00000000-0008-0000-1000-000017980000}"/>
                  </a:ext>
                </a:extLst>
              </xdr:cNvPr>
              <xdr:cNvSpPr/>
            </xdr:nvSpPr>
            <xdr:spPr bwMode="auto">
              <a:xfrm>
                <a:off x="5019675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36" name="Option Button 24" hidden="1">
                <a:extLst>
                  <a:ext uri="{63B3BB69-23CF-44E3-9099-C40C66FF867C}">
                    <a14:compatExt spid="_x0000_s38936"/>
                  </a:ext>
                  <a:ext uri="{FF2B5EF4-FFF2-40B4-BE49-F238E27FC236}">
                    <a16:creationId xmlns:a16="http://schemas.microsoft.com/office/drawing/2014/main" id="{00000000-0008-0000-1000-000018980000}"/>
                  </a:ext>
                </a:extLst>
              </xdr:cNvPr>
              <xdr:cNvSpPr/>
            </xdr:nvSpPr>
            <xdr:spPr bwMode="auto">
              <a:xfrm>
                <a:off x="5457824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16</xdr:row>
          <xdr:rowOff>28589</xdr:rowOff>
        </xdr:from>
        <xdr:to>
          <xdr:col>16</xdr:col>
          <xdr:colOff>132300</xdr:colOff>
          <xdr:row>16</xdr:row>
          <xdr:rowOff>204324</xdr:rowOff>
        </xdr:to>
        <xdr:grpSp>
          <xdr:nvGrpSpPr>
            <xdr:cNvPr id="30" name="Gruppieren 29">
              <a:extLst>
                <a:ext uri="{FF2B5EF4-FFF2-40B4-BE49-F238E27FC236}">
                  <a16:creationId xmlns:a16="http://schemas.microsoft.com/office/drawing/2014/main" id="{00000000-0008-0000-1000-00001E000000}"/>
                </a:ext>
              </a:extLst>
            </xdr:cNvPr>
            <xdr:cNvGrpSpPr/>
          </xdr:nvGrpSpPr>
          <xdr:grpSpPr>
            <a:xfrm>
              <a:off x="4427409" y="4280549"/>
              <a:ext cx="2341911" cy="175735"/>
              <a:chOff x="3581389" y="2105490"/>
              <a:chExt cx="2247895" cy="276227"/>
            </a:xfrm>
          </xdr:grpSpPr>
          <xdr:sp macro="" textlink="">
            <xdr:nvSpPr>
              <xdr:cNvPr id="38937" name="Group Box 25" hidden="1">
                <a:extLst>
                  <a:ext uri="{63B3BB69-23CF-44E3-9099-C40C66FF867C}">
                    <a14:compatExt spid="_x0000_s38937"/>
                  </a:ext>
                  <a:ext uri="{FF2B5EF4-FFF2-40B4-BE49-F238E27FC236}">
                    <a16:creationId xmlns:a16="http://schemas.microsoft.com/office/drawing/2014/main" id="{00000000-0008-0000-1000-000019980000}"/>
                  </a:ext>
                </a:extLst>
              </xdr:cNvPr>
              <xdr:cNvSpPr/>
            </xdr:nvSpPr>
            <xdr:spPr bwMode="auto">
              <a:xfrm>
                <a:off x="3581389" y="2105490"/>
                <a:ext cx="2247895" cy="27622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38" name="Option Button 26" hidden="1">
                <a:extLst>
                  <a:ext uri="{63B3BB69-23CF-44E3-9099-C40C66FF867C}">
                    <a14:compatExt spid="_x0000_s38938"/>
                  </a:ext>
                  <a:ext uri="{FF2B5EF4-FFF2-40B4-BE49-F238E27FC236}">
                    <a16:creationId xmlns:a16="http://schemas.microsoft.com/office/drawing/2014/main" id="{00000000-0008-0000-1000-00001A980000}"/>
                  </a:ext>
                </a:extLst>
              </xdr:cNvPr>
              <xdr:cNvSpPr/>
            </xdr:nvSpPr>
            <xdr:spPr bwMode="auto">
              <a:xfrm>
                <a:off x="3705226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39" name="Option Button 27" hidden="1">
                <a:extLst>
                  <a:ext uri="{63B3BB69-23CF-44E3-9099-C40C66FF867C}">
                    <a14:compatExt spid="_x0000_s38939"/>
                  </a:ext>
                  <a:ext uri="{FF2B5EF4-FFF2-40B4-BE49-F238E27FC236}">
                    <a16:creationId xmlns:a16="http://schemas.microsoft.com/office/drawing/2014/main" id="{00000000-0008-0000-1000-00001B980000}"/>
                  </a:ext>
                </a:extLst>
              </xdr:cNvPr>
              <xdr:cNvSpPr/>
            </xdr:nvSpPr>
            <xdr:spPr bwMode="auto">
              <a:xfrm>
                <a:off x="4143376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0" name="Option Button 28" hidden="1">
                <a:extLst>
                  <a:ext uri="{63B3BB69-23CF-44E3-9099-C40C66FF867C}">
                    <a14:compatExt spid="_x0000_s38940"/>
                  </a:ext>
                  <a:ext uri="{FF2B5EF4-FFF2-40B4-BE49-F238E27FC236}">
                    <a16:creationId xmlns:a16="http://schemas.microsoft.com/office/drawing/2014/main" id="{00000000-0008-0000-1000-00001C980000}"/>
                  </a:ext>
                </a:extLst>
              </xdr:cNvPr>
              <xdr:cNvSpPr/>
            </xdr:nvSpPr>
            <xdr:spPr bwMode="auto">
              <a:xfrm>
                <a:off x="4581525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1" name="Option Button 29" hidden="1">
                <a:extLst>
                  <a:ext uri="{63B3BB69-23CF-44E3-9099-C40C66FF867C}">
                    <a14:compatExt spid="_x0000_s38941"/>
                  </a:ext>
                  <a:ext uri="{FF2B5EF4-FFF2-40B4-BE49-F238E27FC236}">
                    <a16:creationId xmlns:a16="http://schemas.microsoft.com/office/drawing/2014/main" id="{00000000-0008-0000-1000-00001D980000}"/>
                  </a:ext>
                </a:extLst>
              </xdr:cNvPr>
              <xdr:cNvSpPr/>
            </xdr:nvSpPr>
            <xdr:spPr bwMode="auto">
              <a:xfrm>
                <a:off x="5019675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2" name="Option Button 30" hidden="1">
                <a:extLst>
                  <a:ext uri="{63B3BB69-23CF-44E3-9099-C40C66FF867C}">
                    <a14:compatExt spid="_x0000_s38942"/>
                  </a:ext>
                  <a:ext uri="{FF2B5EF4-FFF2-40B4-BE49-F238E27FC236}">
                    <a16:creationId xmlns:a16="http://schemas.microsoft.com/office/drawing/2014/main" id="{00000000-0008-0000-1000-00001E980000}"/>
                  </a:ext>
                </a:extLst>
              </xdr:cNvPr>
              <xdr:cNvSpPr/>
            </xdr:nvSpPr>
            <xdr:spPr bwMode="auto">
              <a:xfrm>
                <a:off x="5457824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17</xdr:row>
          <xdr:rowOff>9591</xdr:rowOff>
        </xdr:from>
        <xdr:to>
          <xdr:col>16</xdr:col>
          <xdr:colOff>132300</xdr:colOff>
          <xdr:row>17</xdr:row>
          <xdr:rowOff>203596</xdr:rowOff>
        </xdr:to>
        <xdr:grpSp>
          <xdr:nvGrpSpPr>
            <xdr:cNvPr id="37" name="Gruppieren 36">
              <a:extLst>
                <a:ext uri="{FF2B5EF4-FFF2-40B4-BE49-F238E27FC236}">
                  <a16:creationId xmlns:a16="http://schemas.microsoft.com/office/drawing/2014/main" id="{00000000-0008-0000-1000-000025000000}"/>
                </a:ext>
              </a:extLst>
            </xdr:cNvPr>
            <xdr:cNvGrpSpPr/>
          </xdr:nvGrpSpPr>
          <xdr:grpSpPr>
            <a:xfrm>
              <a:off x="4427409" y="4657791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8943" name="Group Box 31" hidden="1">
                <a:extLst>
                  <a:ext uri="{63B3BB69-23CF-44E3-9099-C40C66FF867C}">
                    <a14:compatExt spid="_x0000_s38943"/>
                  </a:ext>
                  <a:ext uri="{FF2B5EF4-FFF2-40B4-BE49-F238E27FC236}">
                    <a16:creationId xmlns:a16="http://schemas.microsoft.com/office/drawing/2014/main" id="{00000000-0008-0000-1000-00001F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44" name="Option Button 32" hidden="1">
                <a:extLst>
                  <a:ext uri="{63B3BB69-23CF-44E3-9099-C40C66FF867C}">
                    <a14:compatExt spid="_x0000_s38944"/>
                  </a:ext>
                  <a:ext uri="{FF2B5EF4-FFF2-40B4-BE49-F238E27FC236}">
                    <a16:creationId xmlns:a16="http://schemas.microsoft.com/office/drawing/2014/main" id="{00000000-0008-0000-1000-000020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5" name="Option Button 33" hidden="1">
                <a:extLst>
                  <a:ext uri="{63B3BB69-23CF-44E3-9099-C40C66FF867C}">
                    <a14:compatExt spid="_x0000_s38945"/>
                  </a:ext>
                  <a:ext uri="{FF2B5EF4-FFF2-40B4-BE49-F238E27FC236}">
                    <a16:creationId xmlns:a16="http://schemas.microsoft.com/office/drawing/2014/main" id="{00000000-0008-0000-1000-000021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6" name="Option Button 34" hidden="1">
                <a:extLst>
                  <a:ext uri="{63B3BB69-23CF-44E3-9099-C40C66FF867C}">
                    <a14:compatExt spid="_x0000_s38946"/>
                  </a:ext>
                  <a:ext uri="{FF2B5EF4-FFF2-40B4-BE49-F238E27FC236}">
                    <a16:creationId xmlns:a16="http://schemas.microsoft.com/office/drawing/2014/main" id="{00000000-0008-0000-1000-000022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7" name="Option Button 35" hidden="1">
                <a:extLst>
                  <a:ext uri="{63B3BB69-23CF-44E3-9099-C40C66FF867C}">
                    <a14:compatExt spid="_x0000_s38947"/>
                  </a:ext>
                  <a:ext uri="{FF2B5EF4-FFF2-40B4-BE49-F238E27FC236}">
                    <a16:creationId xmlns:a16="http://schemas.microsoft.com/office/drawing/2014/main" id="{00000000-0008-0000-1000-000023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8" name="Option Button 36" hidden="1">
                <a:extLst>
                  <a:ext uri="{63B3BB69-23CF-44E3-9099-C40C66FF867C}">
                    <a14:compatExt spid="_x0000_s38948"/>
                  </a:ext>
                  <a:ext uri="{FF2B5EF4-FFF2-40B4-BE49-F238E27FC236}">
                    <a16:creationId xmlns:a16="http://schemas.microsoft.com/office/drawing/2014/main" id="{00000000-0008-0000-1000-000024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24</xdr:row>
          <xdr:rowOff>19000</xdr:rowOff>
        </xdr:from>
        <xdr:to>
          <xdr:col>16</xdr:col>
          <xdr:colOff>132300</xdr:colOff>
          <xdr:row>24</xdr:row>
          <xdr:rowOff>194736</xdr:rowOff>
        </xdr:to>
        <xdr:grpSp>
          <xdr:nvGrpSpPr>
            <xdr:cNvPr id="44" name="Gruppieren 43">
              <a:extLst>
                <a:ext uri="{FF2B5EF4-FFF2-40B4-BE49-F238E27FC236}">
                  <a16:creationId xmlns:a16="http://schemas.microsoft.com/office/drawing/2014/main" id="{00000000-0008-0000-1000-00002C000000}"/>
                </a:ext>
              </a:extLst>
            </xdr:cNvPr>
            <xdr:cNvGrpSpPr/>
          </xdr:nvGrpSpPr>
          <xdr:grpSpPr>
            <a:xfrm>
              <a:off x="4427409" y="7242760"/>
              <a:ext cx="2341911" cy="175736"/>
              <a:chOff x="3581389" y="2105196"/>
              <a:chExt cx="2247895" cy="276221"/>
            </a:xfrm>
          </xdr:grpSpPr>
          <xdr:sp macro="" textlink="">
            <xdr:nvSpPr>
              <xdr:cNvPr id="38949" name="Group Box 37" hidden="1">
                <a:extLst>
                  <a:ext uri="{63B3BB69-23CF-44E3-9099-C40C66FF867C}">
                    <a14:compatExt spid="_x0000_s38949"/>
                  </a:ext>
                  <a:ext uri="{FF2B5EF4-FFF2-40B4-BE49-F238E27FC236}">
                    <a16:creationId xmlns:a16="http://schemas.microsoft.com/office/drawing/2014/main" id="{00000000-0008-0000-1000-000025980000}"/>
                  </a:ext>
                </a:extLst>
              </xdr:cNvPr>
              <xdr:cNvSpPr/>
            </xdr:nvSpPr>
            <xdr:spPr bwMode="auto">
              <a:xfrm>
                <a:off x="3581389" y="2105196"/>
                <a:ext cx="2247895" cy="2762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50" name="Option Button 38" hidden="1">
                <a:extLst>
                  <a:ext uri="{63B3BB69-23CF-44E3-9099-C40C66FF867C}">
                    <a14:compatExt spid="_x0000_s38950"/>
                  </a:ext>
                  <a:ext uri="{FF2B5EF4-FFF2-40B4-BE49-F238E27FC236}">
                    <a16:creationId xmlns:a16="http://schemas.microsoft.com/office/drawing/2014/main" id="{00000000-0008-0000-1000-000026980000}"/>
                  </a:ext>
                </a:extLst>
              </xdr:cNvPr>
              <xdr:cNvSpPr/>
            </xdr:nvSpPr>
            <xdr:spPr bwMode="auto">
              <a:xfrm>
                <a:off x="3705226" y="215265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1" name="Option Button 39" hidden="1">
                <a:extLst>
                  <a:ext uri="{63B3BB69-23CF-44E3-9099-C40C66FF867C}">
                    <a14:compatExt spid="_x0000_s38951"/>
                  </a:ext>
                  <a:ext uri="{FF2B5EF4-FFF2-40B4-BE49-F238E27FC236}">
                    <a16:creationId xmlns:a16="http://schemas.microsoft.com/office/drawing/2014/main" id="{00000000-0008-0000-1000-000027980000}"/>
                  </a:ext>
                </a:extLst>
              </xdr:cNvPr>
              <xdr:cNvSpPr/>
            </xdr:nvSpPr>
            <xdr:spPr bwMode="auto">
              <a:xfrm>
                <a:off x="4143376" y="215265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2" name="Option Button 40" hidden="1">
                <a:extLst>
                  <a:ext uri="{63B3BB69-23CF-44E3-9099-C40C66FF867C}">
                    <a14:compatExt spid="_x0000_s38952"/>
                  </a:ext>
                  <a:ext uri="{FF2B5EF4-FFF2-40B4-BE49-F238E27FC236}">
                    <a16:creationId xmlns:a16="http://schemas.microsoft.com/office/drawing/2014/main" id="{00000000-0008-0000-1000-000028980000}"/>
                  </a:ext>
                </a:extLst>
              </xdr:cNvPr>
              <xdr:cNvSpPr/>
            </xdr:nvSpPr>
            <xdr:spPr bwMode="auto">
              <a:xfrm>
                <a:off x="4581525" y="215265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3" name="Option Button 41" hidden="1">
                <a:extLst>
                  <a:ext uri="{63B3BB69-23CF-44E3-9099-C40C66FF867C}">
                    <a14:compatExt spid="_x0000_s38953"/>
                  </a:ext>
                  <a:ext uri="{FF2B5EF4-FFF2-40B4-BE49-F238E27FC236}">
                    <a16:creationId xmlns:a16="http://schemas.microsoft.com/office/drawing/2014/main" id="{00000000-0008-0000-1000-000029980000}"/>
                  </a:ext>
                </a:extLst>
              </xdr:cNvPr>
              <xdr:cNvSpPr/>
            </xdr:nvSpPr>
            <xdr:spPr bwMode="auto">
              <a:xfrm>
                <a:off x="5019675" y="215265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4" name="Option Button 42" hidden="1">
                <a:extLst>
                  <a:ext uri="{63B3BB69-23CF-44E3-9099-C40C66FF867C}">
                    <a14:compatExt spid="_x0000_s38954"/>
                  </a:ext>
                  <a:ext uri="{FF2B5EF4-FFF2-40B4-BE49-F238E27FC236}">
                    <a16:creationId xmlns:a16="http://schemas.microsoft.com/office/drawing/2014/main" id="{00000000-0008-0000-1000-00002A980000}"/>
                  </a:ext>
                </a:extLst>
              </xdr:cNvPr>
              <xdr:cNvSpPr/>
            </xdr:nvSpPr>
            <xdr:spPr bwMode="auto">
              <a:xfrm>
                <a:off x="5457824" y="215265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25</xdr:row>
          <xdr:rowOff>9525</xdr:rowOff>
        </xdr:from>
        <xdr:to>
          <xdr:col>16</xdr:col>
          <xdr:colOff>132300</xdr:colOff>
          <xdr:row>25</xdr:row>
          <xdr:rowOff>203530</xdr:rowOff>
        </xdr:to>
        <xdr:grpSp>
          <xdr:nvGrpSpPr>
            <xdr:cNvPr id="51" name="Gruppieren 50">
              <a:extLst>
                <a:ext uri="{FF2B5EF4-FFF2-40B4-BE49-F238E27FC236}">
                  <a16:creationId xmlns:a16="http://schemas.microsoft.com/office/drawing/2014/main" id="{00000000-0008-0000-1000-000033000000}"/>
                </a:ext>
              </a:extLst>
            </xdr:cNvPr>
            <xdr:cNvGrpSpPr/>
          </xdr:nvGrpSpPr>
          <xdr:grpSpPr>
            <a:xfrm>
              <a:off x="4427409" y="7629525"/>
              <a:ext cx="2341911" cy="194005"/>
              <a:chOff x="3581389" y="2105027"/>
              <a:chExt cx="2247895" cy="276225"/>
            </a:xfrm>
          </xdr:grpSpPr>
          <xdr:sp macro="" textlink="">
            <xdr:nvSpPr>
              <xdr:cNvPr id="38955" name="Group Box 43" hidden="1">
                <a:extLst>
                  <a:ext uri="{63B3BB69-23CF-44E3-9099-C40C66FF867C}">
                    <a14:compatExt spid="_x0000_s38955"/>
                  </a:ext>
                  <a:ext uri="{FF2B5EF4-FFF2-40B4-BE49-F238E27FC236}">
                    <a16:creationId xmlns:a16="http://schemas.microsoft.com/office/drawing/2014/main" id="{00000000-0008-0000-1000-00002B980000}"/>
                  </a:ext>
                </a:extLst>
              </xdr:cNvPr>
              <xdr:cNvSpPr/>
            </xdr:nvSpPr>
            <xdr:spPr bwMode="auto">
              <a:xfrm>
                <a:off x="3581389" y="2105027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56" name="Option Button 44" hidden="1">
                <a:extLst>
                  <a:ext uri="{63B3BB69-23CF-44E3-9099-C40C66FF867C}">
                    <a14:compatExt spid="_x0000_s38956"/>
                  </a:ext>
                  <a:ext uri="{FF2B5EF4-FFF2-40B4-BE49-F238E27FC236}">
                    <a16:creationId xmlns:a16="http://schemas.microsoft.com/office/drawing/2014/main" id="{00000000-0008-0000-1000-00002C980000}"/>
                  </a:ext>
                </a:extLst>
              </xdr:cNvPr>
              <xdr:cNvSpPr/>
            </xdr:nvSpPr>
            <xdr:spPr bwMode="auto">
              <a:xfrm>
                <a:off x="3705226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7" name="Option Button 45" hidden="1">
                <a:extLst>
                  <a:ext uri="{63B3BB69-23CF-44E3-9099-C40C66FF867C}">
                    <a14:compatExt spid="_x0000_s38957"/>
                  </a:ext>
                  <a:ext uri="{FF2B5EF4-FFF2-40B4-BE49-F238E27FC236}">
                    <a16:creationId xmlns:a16="http://schemas.microsoft.com/office/drawing/2014/main" id="{00000000-0008-0000-1000-00002D9800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8" name="Option Button 46" hidden="1">
                <a:extLst>
                  <a:ext uri="{63B3BB69-23CF-44E3-9099-C40C66FF867C}">
                    <a14:compatExt spid="_x0000_s38958"/>
                  </a:ext>
                  <a:ext uri="{FF2B5EF4-FFF2-40B4-BE49-F238E27FC236}">
                    <a16:creationId xmlns:a16="http://schemas.microsoft.com/office/drawing/2014/main" id="{00000000-0008-0000-1000-00002E980000}"/>
                  </a:ext>
                </a:extLst>
              </xdr:cNvPr>
              <xdr:cNvSpPr/>
            </xdr:nvSpPr>
            <xdr:spPr bwMode="auto">
              <a:xfrm>
                <a:off x="4581525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9" name="Option Button 47" hidden="1">
                <a:extLst>
                  <a:ext uri="{63B3BB69-23CF-44E3-9099-C40C66FF867C}">
                    <a14:compatExt spid="_x0000_s38959"/>
                  </a:ext>
                  <a:ext uri="{FF2B5EF4-FFF2-40B4-BE49-F238E27FC236}">
                    <a16:creationId xmlns:a16="http://schemas.microsoft.com/office/drawing/2014/main" id="{00000000-0008-0000-1000-00002F9800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60" name="Option Button 48" hidden="1">
                <a:extLst>
                  <a:ext uri="{63B3BB69-23CF-44E3-9099-C40C66FF867C}">
                    <a14:compatExt spid="_x0000_s38960"/>
                  </a:ext>
                  <a:ext uri="{FF2B5EF4-FFF2-40B4-BE49-F238E27FC236}">
                    <a16:creationId xmlns:a16="http://schemas.microsoft.com/office/drawing/2014/main" id="{00000000-0008-0000-1000-000030980000}"/>
                  </a:ext>
                </a:extLst>
              </xdr:cNvPr>
              <xdr:cNvSpPr/>
            </xdr:nvSpPr>
            <xdr:spPr bwMode="auto">
              <a:xfrm>
                <a:off x="5457824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26</xdr:row>
          <xdr:rowOff>19016</xdr:rowOff>
        </xdr:from>
        <xdr:to>
          <xdr:col>16</xdr:col>
          <xdr:colOff>132300</xdr:colOff>
          <xdr:row>26</xdr:row>
          <xdr:rowOff>188312</xdr:rowOff>
        </xdr:to>
        <xdr:grpSp>
          <xdr:nvGrpSpPr>
            <xdr:cNvPr id="58" name="Gruppieren 57">
              <a:extLst>
                <a:ext uri="{FF2B5EF4-FFF2-40B4-BE49-F238E27FC236}">
                  <a16:creationId xmlns:a16="http://schemas.microsoft.com/office/drawing/2014/main" id="{00000000-0008-0000-1000-00003A000000}"/>
                </a:ext>
              </a:extLst>
            </xdr:cNvPr>
            <xdr:cNvGrpSpPr/>
          </xdr:nvGrpSpPr>
          <xdr:grpSpPr>
            <a:xfrm>
              <a:off x="4427409" y="8035256"/>
              <a:ext cx="2341911" cy="169296"/>
              <a:chOff x="3581389" y="2104684"/>
              <a:chExt cx="2247895" cy="276225"/>
            </a:xfrm>
          </xdr:grpSpPr>
          <xdr:sp macro="" textlink="">
            <xdr:nvSpPr>
              <xdr:cNvPr id="38961" name="Group Box 49" hidden="1">
                <a:extLst>
                  <a:ext uri="{63B3BB69-23CF-44E3-9099-C40C66FF867C}">
                    <a14:compatExt spid="_x0000_s38961"/>
                  </a:ext>
                  <a:ext uri="{FF2B5EF4-FFF2-40B4-BE49-F238E27FC236}">
                    <a16:creationId xmlns:a16="http://schemas.microsoft.com/office/drawing/2014/main" id="{00000000-0008-0000-1000-000031980000}"/>
                  </a:ext>
                </a:extLst>
              </xdr:cNvPr>
              <xdr:cNvSpPr/>
            </xdr:nvSpPr>
            <xdr:spPr bwMode="auto">
              <a:xfrm>
                <a:off x="3581389" y="210468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62" name="Option Button 50" hidden="1">
                <a:extLst>
                  <a:ext uri="{63B3BB69-23CF-44E3-9099-C40C66FF867C}">
                    <a14:compatExt spid="_x0000_s38962"/>
                  </a:ext>
                  <a:ext uri="{FF2B5EF4-FFF2-40B4-BE49-F238E27FC236}">
                    <a16:creationId xmlns:a16="http://schemas.microsoft.com/office/drawing/2014/main" id="{00000000-0008-0000-1000-000032980000}"/>
                  </a:ext>
                </a:extLst>
              </xdr:cNvPr>
              <xdr:cNvSpPr/>
            </xdr:nvSpPr>
            <xdr:spPr bwMode="auto">
              <a:xfrm>
                <a:off x="3705226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63" name="Option Button 51" hidden="1">
                <a:extLst>
                  <a:ext uri="{63B3BB69-23CF-44E3-9099-C40C66FF867C}">
                    <a14:compatExt spid="_x0000_s38963"/>
                  </a:ext>
                  <a:ext uri="{FF2B5EF4-FFF2-40B4-BE49-F238E27FC236}">
                    <a16:creationId xmlns:a16="http://schemas.microsoft.com/office/drawing/2014/main" id="{00000000-0008-0000-1000-000033980000}"/>
                  </a:ext>
                </a:extLst>
              </xdr:cNvPr>
              <xdr:cNvSpPr/>
            </xdr:nvSpPr>
            <xdr:spPr bwMode="auto">
              <a:xfrm>
                <a:off x="4143376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64" name="Option Button 52" hidden="1">
                <a:extLst>
                  <a:ext uri="{63B3BB69-23CF-44E3-9099-C40C66FF867C}">
                    <a14:compatExt spid="_x0000_s38964"/>
                  </a:ext>
                  <a:ext uri="{FF2B5EF4-FFF2-40B4-BE49-F238E27FC236}">
                    <a16:creationId xmlns:a16="http://schemas.microsoft.com/office/drawing/2014/main" id="{00000000-0008-0000-1000-000034980000}"/>
                  </a:ext>
                </a:extLst>
              </xdr:cNvPr>
              <xdr:cNvSpPr/>
            </xdr:nvSpPr>
            <xdr:spPr bwMode="auto">
              <a:xfrm>
                <a:off x="4581525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65" name="Option Button 53" hidden="1">
                <a:extLst>
                  <a:ext uri="{63B3BB69-23CF-44E3-9099-C40C66FF867C}">
                    <a14:compatExt spid="_x0000_s38965"/>
                  </a:ext>
                  <a:ext uri="{FF2B5EF4-FFF2-40B4-BE49-F238E27FC236}">
                    <a16:creationId xmlns:a16="http://schemas.microsoft.com/office/drawing/2014/main" id="{00000000-0008-0000-1000-000035980000}"/>
                  </a:ext>
                </a:extLst>
              </xdr:cNvPr>
              <xdr:cNvSpPr/>
            </xdr:nvSpPr>
            <xdr:spPr bwMode="auto">
              <a:xfrm>
                <a:off x="5019675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66" name="Option Button 54" hidden="1">
                <a:extLst>
                  <a:ext uri="{63B3BB69-23CF-44E3-9099-C40C66FF867C}">
                    <a14:compatExt spid="_x0000_s38966"/>
                  </a:ext>
                  <a:ext uri="{FF2B5EF4-FFF2-40B4-BE49-F238E27FC236}">
                    <a16:creationId xmlns:a16="http://schemas.microsoft.com/office/drawing/2014/main" id="{00000000-0008-0000-1000-000036980000}"/>
                  </a:ext>
                </a:extLst>
              </xdr:cNvPr>
              <xdr:cNvSpPr/>
            </xdr:nvSpPr>
            <xdr:spPr bwMode="auto">
              <a:xfrm>
                <a:off x="5457824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27</xdr:row>
          <xdr:rowOff>28578</xdr:rowOff>
        </xdr:from>
        <xdr:to>
          <xdr:col>16</xdr:col>
          <xdr:colOff>132301</xdr:colOff>
          <xdr:row>27</xdr:row>
          <xdr:rowOff>204311</xdr:rowOff>
        </xdr:to>
        <xdr:grpSp>
          <xdr:nvGrpSpPr>
            <xdr:cNvPr id="65" name="Gruppieren 64">
              <a:extLst>
                <a:ext uri="{FF2B5EF4-FFF2-40B4-BE49-F238E27FC236}">
                  <a16:creationId xmlns:a16="http://schemas.microsoft.com/office/drawing/2014/main" id="{00000000-0008-0000-1000-000041000000}"/>
                </a:ext>
              </a:extLst>
            </xdr:cNvPr>
            <xdr:cNvGrpSpPr/>
          </xdr:nvGrpSpPr>
          <xdr:grpSpPr>
            <a:xfrm>
              <a:off x="4427413" y="8441058"/>
              <a:ext cx="2341908" cy="175733"/>
              <a:chOff x="3581397" y="2105537"/>
              <a:chExt cx="2247892" cy="276224"/>
            </a:xfrm>
          </xdr:grpSpPr>
          <xdr:sp macro="" textlink="">
            <xdr:nvSpPr>
              <xdr:cNvPr id="38967" name="Group Box 55" hidden="1">
                <a:extLst>
                  <a:ext uri="{63B3BB69-23CF-44E3-9099-C40C66FF867C}">
                    <a14:compatExt spid="_x0000_s38967"/>
                  </a:ext>
                  <a:ext uri="{FF2B5EF4-FFF2-40B4-BE49-F238E27FC236}">
                    <a16:creationId xmlns:a16="http://schemas.microsoft.com/office/drawing/2014/main" id="{00000000-0008-0000-1000-000037980000}"/>
                  </a:ext>
                </a:extLst>
              </xdr:cNvPr>
              <xdr:cNvSpPr/>
            </xdr:nvSpPr>
            <xdr:spPr bwMode="auto">
              <a:xfrm>
                <a:off x="3581397" y="2105537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68" name="Option Button 56" hidden="1">
                <a:extLst>
                  <a:ext uri="{63B3BB69-23CF-44E3-9099-C40C66FF867C}">
                    <a14:compatExt spid="_x0000_s38968"/>
                  </a:ext>
                  <a:ext uri="{FF2B5EF4-FFF2-40B4-BE49-F238E27FC236}">
                    <a16:creationId xmlns:a16="http://schemas.microsoft.com/office/drawing/2014/main" id="{00000000-0008-0000-1000-00003898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69" name="Option Button 57" hidden="1">
                <a:extLst>
                  <a:ext uri="{63B3BB69-23CF-44E3-9099-C40C66FF867C}">
                    <a14:compatExt spid="_x0000_s38969"/>
                  </a:ext>
                  <a:ext uri="{FF2B5EF4-FFF2-40B4-BE49-F238E27FC236}">
                    <a16:creationId xmlns:a16="http://schemas.microsoft.com/office/drawing/2014/main" id="{00000000-0008-0000-1000-00003998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0" name="Option Button 58" hidden="1">
                <a:extLst>
                  <a:ext uri="{63B3BB69-23CF-44E3-9099-C40C66FF867C}">
                    <a14:compatExt spid="_x0000_s38970"/>
                  </a:ext>
                  <a:ext uri="{FF2B5EF4-FFF2-40B4-BE49-F238E27FC236}">
                    <a16:creationId xmlns:a16="http://schemas.microsoft.com/office/drawing/2014/main" id="{00000000-0008-0000-1000-00003A98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1" name="Option Button 59" hidden="1">
                <a:extLst>
                  <a:ext uri="{63B3BB69-23CF-44E3-9099-C40C66FF867C}">
                    <a14:compatExt spid="_x0000_s38971"/>
                  </a:ext>
                  <a:ext uri="{FF2B5EF4-FFF2-40B4-BE49-F238E27FC236}">
                    <a16:creationId xmlns:a16="http://schemas.microsoft.com/office/drawing/2014/main" id="{00000000-0008-0000-1000-00003B98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2" name="Option Button 60" hidden="1">
                <a:extLst>
                  <a:ext uri="{63B3BB69-23CF-44E3-9099-C40C66FF867C}">
                    <a14:compatExt spid="_x0000_s38972"/>
                  </a:ext>
                  <a:ext uri="{FF2B5EF4-FFF2-40B4-BE49-F238E27FC236}">
                    <a16:creationId xmlns:a16="http://schemas.microsoft.com/office/drawing/2014/main" id="{00000000-0008-0000-1000-00003C98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10</xdr:row>
          <xdr:rowOff>18952</xdr:rowOff>
        </xdr:from>
        <xdr:to>
          <xdr:col>16</xdr:col>
          <xdr:colOff>132296</xdr:colOff>
          <xdr:row>10</xdr:row>
          <xdr:rowOff>222093</xdr:rowOff>
        </xdr:to>
        <xdr:grpSp>
          <xdr:nvGrpSpPr>
            <xdr:cNvPr id="72" name="Gruppieren 71">
              <a:extLst>
                <a:ext uri="{FF2B5EF4-FFF2-40B4-BE49-F238E27FC236}">
                  <a16:creationId xmlns:a16="http://schemas.microsoft.com/office/drawing/2014/main" id="{00000000-0008-0000-1000-000048000000}"/>
                </a:ext>
              </a:extLst>
            </xdr:cNvPr>
            <xdr:cNvGrpSpPr/>
          </xdr:nvGrpSpPr>
          <xdr:grpSpPr>
            <a:xfrm>
              <a:off x="4417695" y="2259232"/>
              <a:ext cx="2351621" cy="203141"/>
              <a:chOff x="3581395" y="2104545"/>
              <a:chExt cx="2247900" cy="276226"/>
            </a:xfrm>
          </xdr:grpSpPr>
          <xdr:sp macro="" textlink="">
            <xdr:nvSpPr>
              <xdr:cNvPr id="38973" name="Group Box 61" hidden="1">
                <a:extLst>
                  <a:ext uri="{63B3BB69-23CF-44E3-9099-C40C66FF867C}">
                    <a14:compatExt spid="_x0000_s38973"/>
                  </a:ext>
                  <a:ext uri="{FF2B5EF4-FFF2-40B4-BE49-F238E27FC236}">
                    <a16:creationId xmlns:a16="http://schemas.microsoft.com/office/drawing/2014/main" id="{00000000-0008-0000-1000-00003D980000}"/>
                  </a:ext>
                </a:extLst>
              </xdr:cNvPr>
              <xdr:cNvSpPr/>
            </xdr:nvSpPr>
            <xdr:spPr bwMode="auto">
              <a:xfrm>
                <a:off x="3581395" y="2104545"/>
                <a:ext cx="2247900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74" name="Option Button 62" hidden="1">
                <a:extLst>
                  <a:ext uri="{63B3BB69-23CF-44E3-9099-C40C66FF867C}">
                    <a14:compatExt spid="_x0000_s38974"/>
                  </a:ext>
                  <a:ext uri="{FF2B5EF4-FFF2-40B4-BE49-F238E27FC236}">
                    <a16:creationId xmlns:a16="http://schemas.microsoft.com/office/drawing/2014/main" id="{00000000-0008-0000-1000-00003E980000}"/>
                  </a:ext>
                </a:extLst>
              </xdr:cNvPr>
              <xdr:cNvSpPr/>
            </xdr:nvSpPr>
            <xdr:spPr bwMode="auto">
              <a:xfrm>
                <a:off x="3705225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5" name="Option Button 63" hidden="1">
                <a:extLst>
                  <a:ext uri="{63B3BB69-23CF-44E3-9099-C40C66FF867C}">
                    <a14:compatExt spid="_x0000_s38975"/>
                  </a:ext>
                  <a:ext uri="{FF2B5EF4-FFF2-40B4-BE49-F238E27FC236}">
                    <a16:creationId xmlns:a16="http://schemas.microsoft.com/office/drawing/2014/main" id="{00000000-0008-0000-1000-00003F980000}"/>
                  </a:ext>
                </a:extLst>
              </xdr:cNvPr>
              <xdr:cNvSpPr/>
            </xdr:nvSpPr>
            <xdr:spPr bwMode="auto">
              <a:xfrm>
                <a:off x="4143376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6" name="Option Button 64" hidden="1">
                <a:extLst>
                  <a:ext uri="{63B3BB69-23CF-44E3-9099-C40C66FF867C}">
                    <a14:compatExt spid="_x0000_s38976"/>
                  </a:ext>
                  <a:ext uri="{FF2B5EF4-FFF2-40B4-BE49-F238E27FC236}">
                    <a16:creationId xmlns:a16="http://schemas.microsoft.com/office/drawing/2014/main" id="{00000000-0008-0000-1000-000040980000}"/>
                  </a:ext>
                </a:extLst>
              </xdr:cNvPr>
              <xdr:cNvSpPr/>
            </xdr:nvSpPr>
            <xdr:spPr bwMode="auto">
              <a:xfrm>
                <a:off x="4581526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7" name="Option Button 65" hidden="1">
                <a:extLst>
                  <a:ext uri="{63B3BB69-23CF-44E3-9099-C40C66FF867C}">
                    <a14:compatExt spid="_x0000_s38977"/>
                  </a:ext>
                  <a:ext uri="{FF2B5EF4-FFF2-40B4-BE49-F238E27FC236}">
                    <a16:creationId xmlns:a16="http://schemas.microsoft.com/office/drawing/2014/main" id="{00000000-0008-0000-1000-000041980000}"/>
                  </a:ext>
                </a:extLst>
              </xdr:cNvPr>
              <xdr:cNvSpPr/>
            </xdr:nvSpPr>
            <xdr:spPr bwMode="auto">
              <a:xfrm>
                <a:off x="5019673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8" name="Option Button 66" hidden="1">
                <a:extLst>
                  <a:ext uri="{63B3BB69-23CF-44E3-9099-C40C66FF867C}">
                    <a14:compatExt spid="_x0000_s38978"/>
                  </a:ext>
                  <a:ext uri="{FF2B5EF4-FFF2-40B4-BE49-F238E27FC236}">
                    <a16:creationId xmlns:a16="http://schemas.microsoft.com/office/drawing/2014/main" id="{00000000-0008-0000-1000-000042980000}"/>
                  </a:ext>
                </a:extLst>
              </xdr:cNvPr>
              <xdr:cNvSpPr/>
            </xdr:nvSpPr>
            <xdr:spPr bwMode="auto">
              <a:xfrm>
                <a:off x="5457824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20</xdr:col>
      <xdr:colOff>1485900</xdr:colOff>
      <xdr:row>1</xdr:row>
      <xdr:rowOff>57150</xdr:rowOff>
    </xdr:from>
    <xdr:to>
      <xdr:col>20</xdr:col>
      <xdr:colOff>1658700</xdr:colOff>
      <xdr:row>1</xdr:row>
      <xdr:rowOff>229950</xdr:rowOff>
    </xdr:to>
    <xdr:grpSp>
      <xdr:nvGrpSpPr>
        <xdr:cNvPr id="79" name="Gruppieren 7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4F000000}"/>
            </a:ext>
          </a:extLst>
        </xdr:cNvPr>
        <xdr:cNvGrpSpPr/>
      </xdr:nvGrpSpPr>
      <xdr:grpSpPr>
        <a:xfrm>
          <a:off x="8808720" y="628650"/>
          <a:ext cx="172800" cy="172800"/>
          <a:chOff x="8105775" y="571500"/>
          <a:chExt cx="172800" cy="172800"/>
        </a:xfrm>
      </xdr:grpSpPr>
      <xdr:sp macro="" textlink="">
        <xdr:nvSpPr>
          <xdr:cNvPr id="80" name="Rechteck 79">
            <a:extLst>
              <a:ext uri="{FF2B5EF4-FFF2-40B4-BE49-F238E27FC236}">
                <a16:creationId xmlns:a16="http://schemas.microsoft.com/office/drawing/2014/main" id="{00000000-0008-0000-1000-000050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1" name="Textfeld 80">
            <a:extLst>
              <a:ext uri="{FF2B5EF4-FFF2-40B4-BE49-F238E27FC236}">
                <a16:creationId xmlns:a16="http://schemas.microsoft.com/office/drawing/2014/main" id="{00000000-0008-0000-1000-000051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19050</xdr:colOff>
      <xdr:row>7</xdr:row>
      <xdr:rowOff>38100</xdr:rowOff>
    </xdr:from>
    <xdr:to>
      <xdr:col>1</xdr:col>
      <xdr:colOff>44282</xdr:colOff>
      <xdr:row>10</xdr:row>
      <xdr:rowOff>171450</xdr:rowOff>
    </xdr:to>
    <xdr:pic>
      <xdr:nvPicPr>
        <xdr:cNvPr id="82" name="Picture 2">
          <a:extLst>
            <a:ext uri="{FF2B5EF4-FFF2-40B4-BE49-F238E27FC236}">
              <a16:creationId xmlns:a16="http://schemas.microsoft.com/office/drawing/2014/main" id="{00000000-0008-0000-1000-00005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9050" y="1971675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</xdr:colOff>
      <xdr:row>13</xdr:row>
      <xdr:rowOff>190501</xdr:rowOff>
    </xdr:from>
    <xdr:to>
      <xdr:col>0</xdr:col>
      <xdr:colOff>447675</xdr:colOff>
      <xdr:row>15</xdr:row>
      <xdr:rowOff>278424</xdr:rowOff>
    </xdr:to>
    <xdr:pic>
      <xdr:nvPicPr>
        <xdr:cNvPr id="83" name="Picture 2">
          <a:extLst>
            <a:ext uri="{FF2B5EF4-FFF2-40B4-BE49-F238E27FC236}">
              <a16:creationId xmlns:a16="http://schemas.microsoft.com/office/drawing/2014/main" id="{00000000-0008-0000-1000-00005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9050" y="3629026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18</xdr:row>
          <xdr:rowOff>9609</xdr:rowOff>
        </xdr:from>
        <xdr:to>
          <xdr:col>16</xdr:col>
          <xdr:colOff>132300</xdr:colOff>
          <xdr:row>18</xdr:row>
          <xdr:rowOff>212750</xdr:rowOff>
        </xdr:to>
        <xdr:grpSp>
          <xdr:nvGrpSpPr>
            <xdr:cNvPr id="84" name="Gruppieren 83">
              <a:extLst>
                <a:ext uri="{FF2B5EF4-FFF2-40B4-BE49-F238E27FC236}">
                  <a16:creationId xmlns:a16="http://schemas.microsoft.com/office/drawing/2014/main" id="{00000000-0008-0000-1000-000054000000}"/>
                </a:ext>
              </a:extLst>
            </xdr:cNvPr>
            <xdr:cNvGrpSpPr/>
          </xdr:nvGrpSpPr>
          <xdr:grpSpPr>
            <a:xfrm>
              <a:off x="4427409" y="5054049"/>
              <a:ext cx="2341911" cy="203141"/>
              <a:chOff x="3581389" y="2105504"/>
              <a:chExt cx="2247895" cy="276226"/>
            </a:xfrm>
          </xdr:grpSpPr>
          <xdr:sp macro="" textlink="">
            <xdr:nvSpPr>
              <xdr:cNvPr id="38979" name="Group Box 67" hidden="1">
                <a:extLst>
                  <a:ext uri="{63B3BB69-23CF-44E3-9099-C40C66FF867C}">
                    <a14:compatExt spid="_x0000_s38979"/>
                  </a:ext>
                  <a:ext uri="{FF2B5EF4-FFF2-40B4-BE49-F238E27FC236}">
                    <a16:creationId xmlns:a16="http://schemas.microsoft.com/office/drawing/2014/main" id="{00000000-0008-0000-1000-000043980000}"/>
                  </a:ext>
                </a:extLst>
              </xdr:cNvPr>
              <xdr:cNvSpPr/>
            </xdr:nvSpPr>
            <xdr:spPr bwMode="auto">
              <a:xfrm>
                <a:off x="3581389" y="2105504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80" name="Option Button 68" hidden="1">
                <a:extLst>
                  <a:ext uri="{63B3BB69-23CF-44E3-9099-C40C66FF867C}">
                    <a14:compatExt spid="_x0000_s38980"/>
                  </a:ext>
                  <a:ext uri="{FF2B5EF4-FFF2-40B4-BE49-F238E27FC236}">
                    <a16:creationId xmlns:a16="http://schemas.microsoft.com/office/drawing/2014/main" id="{00000000-0008-0000-1000-000044980000}"/>
                  </a:ext>
                </a:extLst>
              </xdr:cNvPr>
              <xdr:cNvSpPr/>
            </xdr:nvSpPr>
            <xdr:spPr bwMode="auto">
              <a:xfrm>
                <a:off x="3705226" y="215263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1" name="Option Button 69" hidden="1">
                <a:extLst>
                  <a:ext uri="{63B3BB69-23CF-44E3-9099-C40C66FF867C}">
                    <a14:compatExt spid="_x0000_s38981"/>
                  </a:ext>
                  <a:ext uri="{FF2B5EF4-FFF2-40B4-BE49-F238E27FC236}">
                    <a16:creationId xmlns:a16="http://schemas.microsoft.com/office/drawing/2014/main" id="{00000000-0008-0000-1000-0000459800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2" name="Option Button 70" hidden="1">
                <a:extLst>
                  <a:ext uri="{63B3BB69-23CF-44E3-9099-C40C66FF867C}">
                    <a14:compatExt spid="_x0000_s38982"/>
                  </a:ext>
                  <a:ext uri="{FF2B5EF4-FFF2-40B4-BE49-F238E27FC236}">
                    <a16:creationId xmlns:a16="http://schemas.microsoft.com/office/drawing/2014/main" id="{00000000-0008-0000-1000-000046980000}"/>
                  </a:ext>
                </a:extLst>
              </xdr:cNvPr>
              <xdr:cNvSpPr/>
            </xdr:nvSpPr>
            <xdr:spPr bwMode="auto">
              <a:xfrm>
                <a:off x="4581525" y="215263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3" name="Option Button 71" hidden="1">
                <a:extLst>
                  <a:ext uri="{63B3BB69-23CF-44E3-9099-C40C66FF867C}">
                    <a14:compatExt spid="_x0000_s38983"/>
                  </a:ext>
                  <a:ext uri="{FF2B5EF4-FFF2-40B4-BE49-F238E27FC236}">
                    <a16:creationId xmlns:a16="http://schemas.microsoft.com/office/drawing/2014/main" id="{00000000-0008-0000-1000-0000479800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4" name="Option Button 72" hidden="1">
                <a:extLst>
                  <a:ext uri="{63B3BB69-23CF-44E3-9099-C40C66FF867C}">
                    <a14:compatExt spid="_x0000_s38984"/>
                  </a:ext>
                  <a:ext uri="{FF2B5EF4-FFF2-40B4-BE49-F238E27FC236}">
                    <a16:creationId xmlns:a16="http://schemas.microsoft.com/office/drawing/2014/main" id="{00000000-0008-0000-1000-000048980000}"/>
                  </a:ext>
                </a:extLst>
              </xdr:cNvPr>
              <xdr:cNvSpPr/>
            </xdr:nvSpPr>
            <xdr:spPr bwMode="auto">
              <a:xfrm>
                <a:off x="5457824" y="215263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19</xdr:row>
          <xdr:rowOff>9609</xdr:rowOff>
        </xdr:from>
        <xdr:to>
          <xdr:col>16</xdr:col>
          <xdr:colOff>132300</xdr:colOff>
          <xdr:row>19</xdr:row>
          <xdr:rowOff>212750</xdr:rowOff>
        </xdr:to>
        <xdr:grpSp>
          <xdr:nvGrpSpPr>
            <xdr:cNvPr id="91" name="Gruppieren 90">
              <a:extLst>
                <a:ext uri="{FF2B5EF4-FFF2-40B4-BE49-F238E27FC236}">
                  <a16:creationId xmlns:a16="http://schemas.microsoft.com/office/drawing/2014/main" id="{00000000-0008-0000-1000-00005B000000}"/>
                </a:ext>
              </a:extLst>
            </xdr:cNvPr>
            <xdr:cNvGrpSpPr/>
          </xdr:nvGrpSpPr>
          <xdr:grpSpPr>
            <a:xfrm>
              <a:off x="4427409" y="5450289"/>
              <a:ext cx="2341911" cy="203141"/>
              <a:chOff x="3581389" y="2105504"/>
              <a:chExt cx="2247895" cy="276226"/>
            </a:xfrm>
          </xdr:grpSpPr>
          <xdr:sp macro="" textlink="">
            <xdr:nvSpPr>
              <xdr:cNvPr id="38985" name="Group Box 73" hidden="1">
                <a:extLst>
                  <a:ext uri="{63B3BB69-23CF-44E3-9099-C40C66FF867C}">
                    <a14:compatExt spid="_x0000_s38985"/>
                  </a:ext>
                  <a:ext uri="{FF2B5EF4-FFF2-40B4-BE49-F238E27FC236}">
                    <a16:creationId xmlns:a16="http://schemas.microsoft.com/office/drawing/2014/main" id="{00000000-0008-0000-1000-000049980000}"/>
                  </a:ext>
                </a:extLst>
              </xdr:cNvPr>
              <xdr:cNvSpPr/>
            </xdr:nvSpPr>
            <xdr:spPr bwMode="auto">
              <a:xfrm>
                <a:off x="3581389" y="2105504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86" name="Option Button 74" hidden="1">
                <a:extLst>
                  <a:ext uri="{63B3BB69-23CF-44E3-9099-C40C66FF867C}">
                    <a14:compatExt spid="_x0000_s38986"/>
                  </a:ext>
                  <a:ext uri="{FF2B5EF4-FFF2-40B4-BE49-F238E27FC236}">
                    <a16:creationId xmlns:a16="http://schemas.microsoft.com/office/drawing/2014/main" id="{00000000-0008-0000-1000-00004A980000}"/>
                  </a:ext>
                </a:extLst>
              </xdr:cNvPr>
              <xdr:cNvSpPr/>
            </xdr:nvSpPr>
            <xdr:spPr bwMode="auto">
              <a:xfrm>
                <a:off x="3705226" y="215263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7" name="Option Button 75" hidden="1">
                <a:extLst>
                  <a:ext uri="{63B3BB69-23CF-44E3-9099-C40C66FF867C}">
                    <a14:compatExt spid="_x0000_s38987"/>
                  </a:ext>
                  <a:ext uri="{FF2B5EF4-FFF2-40B4-BE49-F238E27FC236}">
                    <a16:creationId xmlns:a16="http://schemas.microsoft.com/office/drawing/2014/main" id="{00000000-0008-0000-1000-00004B980000}"/>
                  </a:ext>
                </a:extLst>
              </xdr:cNvPr>
              <xdr:cNvSpPr/>
            </xdr:nvSpPr>
            <xdr:spPr bwMode="auto">
              <a:xfrm>
                <a:off x="4143376" y="215263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8" name="Option Button 76" hidden="1">
                <a:extLst>
                  <a:ext uri="{63B3BB69-23CF-44E3-9099-C40C66FF867C}">
                    <a14:compatExt spid="_x0000_s38988"/>
                  </a:ext>
                  <a:ext uri="{FF2B5EF4-FFF2-40B4-BE49-F238E27FC236}">
                    <a16:creationId xmlns:a16="http://schemas.microsoft.com/office/drawing/2014/main" id="{00000000-0008-0000-1000-00004C980000}"/>
                  </a:ext>
                </a:extLst>
              </xdr:cNvPr>
              <xdr:cNvSpPr/>
            </xdr:nvSpPr>
            <xdr:spPr bwMode="auto">
              <a:xfrm>
                <a:off x="4581525" y="215263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9" name="Option Button 77" hidden="1">
                <a:extLst>
                  <a:ext uri="{63B3BB69-23CF-44E3-9099-C40C66FF867C}">
                    <a14:compatExt spid="_x0000_s38989"/>
                  </a:ext>
                  <a:ext uri="{FF2B5EF4-FFF2-40B4-BE49-F238E27FC236}">
                    <a16:creationId xmlns:a16="http://schemas.microsoft.com/office/drawing/2014/main" id="{00000000-0008-0000-1000-00004D980000}"/>
                  </a:ext>
                </a:extLst>
              </xdr:cNvPr>
              <xdr:cNvSpPr/>
            </xdr:nvSpPr>
            <xdr:spPr bwMode="auto">
              <a:xfrm>
                <a:off x="5019675" y="215263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90" name="Option Button 78" hidden="1">
                <a:extLst>
                  <a:ext uri="{63B3BB69-23CF-44E3-9099-C40C66FF867C}">
                    <a14:compatExt spid="_x0000_s38990"/>
                  </a:ext>
                  <a:ext uri="{FF2B5EF4-FFF2-40B4-BE49-F238E27FC236}">
                    <a16:creationId xmlns:a16="http://schemas.microsoft.com/office/drawing/2014/main" id="{00000000-0008-0000-1000-00004E980000}"/>
                  </a:ext>
                </a:extLst>
              </xdr:cNvPr>
              <xdr:cNvSpPr/>
            </xdr:nvSpPr>
            <xdr:spPr bwMode="auto">
              <a:xfrm>
                <a:off x="5457824" y="215263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20</xdr:row>
          <xdr:rowOff>19116</xdr:rowOff>
        </xdr:from>
        <xdr:to>
          <xdr:col>16</xdr:col>
          <xdr:colOff>132300</xdr:colOff>
          <xdr:row>20</xdr:row>
          <xdr:rowOff>213121</xdr:rowOff>
        </xdr:to>
        <xdr:grpSp>
          <xdr:nvGrpSpPr>
            <xdr:cNvPr id="98" name="Gruppieren 97">
              <a:extLst>
                <a:ext uri="{FF2B5EF4-FFF2-40B4-BE49-F238E27FC236}">
                  <a16:creationId xmlns:a16="http://schemas.microsoft.com/office/drawing/2014/main" id="{00000000-0008-0000-1000-000062000000}"/>
                </a:ext>
              </a:extLst>
            </xdr:cNvPr>
            <xdr:cNvGrpSpPr/>
          </xdr:nvGrpSpPr>
          <xdr:grpSpPr>
            <a:xfrm>
              <a:off x="4427409" y="5856036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8991" name="Group Box 79" hidden="1">
                <a:extLst>
                  <a:ext uri="{63B3BB69-23CF-44E3-9099-C40C66FF867C}">
                    <a14:compatExt spid="_x0000_s38991"/>
                  </a:ext>
                  <a:ext uri="{FF2B5EF4-FFF2-40B4-BE49-F238E27FC236}">
                    <a16:creationId xmlns:a16="http://schemas.microsoft.com/office/drawing/2014/main" id="{00000000-0008-0000-1000-00004F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92" name="Option Button 80" hidden="1">
                <a:extLst>
                  <a:ext uri="{63B3BB69-23CF-44E3-9099-C40C66FF867C}">
                    <a14:compatExt spid="_x0000_s38992"/>
                  </a:ext>
                  <a:ext uri="{FF2B5EF4-FFF2-40B4-BE49-F238E27FC236}">
                    <a16:creationId xmlns:a16="http://schemas.microsoft.com/office/drawing/2014/main" id="{00000000-0008-0000-1000-000050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93" name="Option Button 81" hidden="1">
                <a:extLst>
                  <a:ext uri="{63B3BB69-23CF-44E3-9099-C40C66FF867C}">
                    <a14:compatExt spid="_x0000_s38993"/>
                  </a:ext>
                  <a:ext uri="{FF2B5EF4-FFF2-40B4-BE49-F238E27FC236}">
                    <a16:creationId xmlns:a16="http://schemas.microsoft.com/office/drawing/2014/main" id="{00000000-0008-0000-1000-000051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94" name="Option Button 82" hidden="1">
                <a:extLst>
                  <a:ext uri="{63B3BB69-23CF-44E3-9099-C40C66FF867C}">
                    <a14:compatExt spid="_x0000_s38994"/>
                  </a:ext>
                  <a:ext uri="{FF2B5EF4-FFF2-40B4-BE49-F238E27FC236}">
                    <a16:creationId xmlns:a16="http://schemas.microsoft.com/office/drawing/2014/main" id="{00000000-0008-0000-1000-000052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95" name="Option Button 83" hidden="1">
                <a:extLst>
                  <a:ext uri="{63B3BB69-23CF-44E3-9099-C40C66FF867C}">
                    <a14:compatExt spid="_x0000_s38995"/>
                  </a:ext>
                  <a:ext uri="{FF2B5EF4-FFF2-40B4-BE49-F238E27FC236}">
                    <a16:creationId xmlns:a16="http://schemas.microsoft.com/office/drawing/2014/main" id="{00000000-0008-0000-1000-000053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96" name="Option Button 84" hidden="1">
                <a:extLst>
                  <a:ext uri="{63B3BB69-23CF-44E3-9099-C40C66FF867C}">
                    <a14:compatExt spid="_x0000_s38996"/>
                  </a:ext>
                  <a:ext uri="{FF2B5EF4-FFF2-40B4-BE49-F238E27FC236}">
                    <a16:creationId xmlns:a16="http://schemas.microsoft.com/office/drawing/2014/main" id="{00000000-0008-0000-1000-000054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21</xdr:row>
          <xdr:rowOff>9591</xdr:rowOff>
        </xdr:from>
        <xdr:to>
          <xdr:col>16</xdr:col>
          <xdr:colOff>132300</xdr:colOff>
          <xdr:row>21</xdr:row>
          <xdr:rowOff>203596</xdr:rowOff>
        </xdr:to>
        <xdr:grpSp>
          <xdr:nvGrpSpPr>
            <xdr:cNvPr id="105" name="Gruppieren 104">
              <a:extLst>
                <a:ext uri="{FF2B5EF4-FFF2-40B4-BE49-F238E27FC236}">
                  <a16:creationId xmlns:a16="http://schemas.microsoft.com/office/drawing/2014/main" id="{00000000-0008-0000-1000-000069000000}"/>
                </a:ext>
              </a:extLst>
            </xdr:cNvPr>
            <xdr:cNvGrpSpPr/>
          </xdr:nvGrpSpPr>
          <xdr:grpSpPr>
            <a:xfrm>
              <a:off x="4427409" y="6242751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8997" name="Group Box 85" hidden="1">
                <a:extLst>
                  <a:ext uri="{63B3BB69-23CF-44E3-9099-C40C66FF867C}">
                    <a14:compatExt spid="_x0000_s38997"/>
                  </a:ext>
                  <a:ext uri="{FF2B5EF4-FFF2-40B4-BE49-F238E27FC236}">
                    <a16:creationId xmlns:a16="http://schemas.microsoft.com/office/drawing/2014/main" id="{00000000-0008-0000-1000-000055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98" name="Option Button 86" hidden="1">
                <a:extLst>
                  <a:ext uri="{63B3BB69-23CF-44E3-9099-C40C66FF867C}">
                    <a14:compatExt spid="_x0000_s38998"/>
                  </a:ext>
                  <a:ext uri="{FF2B5EF4-FFF2-40B4-BE49-F238E27FC236}">
                    <a16:creationId xmlns:a16="http://schemas.microsoft.com/office/drawing/2014/main" id="{00000000-0008-0000-1000-000056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99" name="Option Button 87" hidden="1">
                <a:extLst>
                  <a:ext uri="{63B3BB69-23CF-44E3-9099-C40C66FF867C}">
                    <a14:compatExt spid="_x0000_s38999"/>
                  </a:ext>
                  <a:ext uri="{FF2B5EF4-FFF2-40B4-BE49-F238E27FC236}">
                    <a16:creationId xmlns:a16="http://schemas.microsoft.com/office/drawing/2014/main" id="{00000000-0008-0000-1000-000057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0" name="Option Button 88" hidden="1">
                <a:extLst>
                  <a:ext uri="{63B3BB69-23CF-44E3-9099-C40C66FF867C}">
                    <a14:compatExt spid="_x0000_s39000"/>
                  </a:ext>
                  <a:ext uri="{FF2B5EF4-FFF2-40B4-BE49-F238E27FC236}">
                    <a16:creationId xmlns:a16="http://schemas.microsoft.com/office/drawing/2014/main" id="{00000000-0008-0000-1000-000058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1" name="Option Button 89" hidden="1">
                <a:extLst>
                  <a:ext uri="{63B3BB69-23CF-44E3-9099-C40C66FF867C}">
                    <a14:compatExt spid="_x0000_s39001"/>
                  </a:ext>
                  <a:ext uri="{FF2B5EF4-FFF2-40B4-BE49-F238E27FC236}">
                    <a16:creationId xmlns:a16="http://schemas.microsoft.com/office/drawing/2014/main" id="{00000000-0008-0000-1000-000059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2" name="Option Button 90" hidden="1">
                <a:extLst>
                  <a:ext uri="{63B3BB69-23CF-44E3-9099-C40C66FF867C}">
                    <a14:compatExt spid="_x0000_s39002"/>
                  </a:ext>
                  <a:ext uri="{FF2B5EF4-FFF2-40B4-BE49-F238E27FC236}">
                    <a16:creationId xmlns:a16="http://schemas.microsoft.com/office/drawing/2014/main" id="{00000000-0008-0000-1000-00005A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22</xdr:row>
          <xdr:rowOff>9591</xdr:rowOff>
        </xdr:from>
        <xdr:to>
          <xdr:col>16</xdr:col>
          <xdr:colOff>132300</xdr:colOff>
          <xdr:row>22</xdr:row>
          <xdr:rowOff>203596</xdr:rowOff>
        </xdr:to>
        <xdr:grpSp>
          <xdr:nvGrpSpPr>
            <xdr:cNvPr id="112" name="Gruppieren 111">
              <a:extLst>
                <a:ext uri="{FF2B5EF4-FFF2-40B4-BE49-F238E27FC236}">
                  <a16:creationId xmlns:a16="http://schemas.microsoft.com/office/drawing/2014/main" id="{00000000-0008-0000-1000-000070000000}"/>
                </a:ext>
              </a:extLst>
            </xdr:cNvPr>
            <xdr:cNvGrpSpPr/>
          </xdr:nvGrpSpPr>
          <xdr:grpSpPr>
            <a:xfrm>
              <a:off x="4427409" y="6638991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9003" name="Group Box 91" hidden="1">
                <a:extLst>
                  <a:ext uri="{63B3BB69-23CF-44E3-9099-C40C66FF867C}">
                    <a14:compatExt spid="_x0000_s39003"/>
                  </a:ext>
                  <a:ext uri="{FF2B5EF4-FFF2-40B4-BE49-F238E27FC236}">
                    <a16:creationId xmlns:a16="http://schemas.microsoft.com/office/drawing/2014/main" id="{00000000-0008-0000-1000-00005B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04" name="Option Button 92" hidden="1">
                <a:extLst>
                  <a:ext uri="{63B3BB69-23CF-44E3-9099-C40C66FF867C}">
                    <a14:compatExt spid="_x0000_s39004"/>
                  </a:ext>
                  <a:ext uri="{FF2B5EF4-FFF2-40B4-BE49-F238E27FC236}">
                    <a16:creationId xmlns:a16="http://schemas.microsoft.com/office/drawing/2014/main" id="{00000000-0008-0000-1000-00005C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5" name="Option Button 93" hidden="1">
                <a:extLst>
                  <a:ext uri="{63B3BB69-23CF-44E3-9099-C40C66FF867C}">
                    <a14:compatExt spid="_x0000_s39005"/>
                  </a:ext>
                  <a:ext uri="{FF2B5EF4-FFF2-40B4-BE49-F238E27FC236}">
                    <a16:creationId xmlns:a16="http://schemas.microsoft.com/office/drawing/2014/main" id="{00000000-0008-0000-1000-00005D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6" name="Option Button 94" hidden="1">
                <a:extLst>
                  <a:ext uri="{63B3BB69-23CF-44E3-9099-C40C66FF867C}">
                    <a14:compatExt spid="_x0000_s39006"/>
                  </a:ext>
                  <a:ext uri="{FF2B5EF4-FFF2-40B4-BE49-F238E27FC236}">
                    <a16:creationId xmlns:a16="http://schemas.microsoft.com/office/drawing/2014/main" id="{00000000-0008-0000-1000-00005E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7" name="Option Button 95" hidden="1">
                <a:extLst>
                  <a:ext uri="{63B3BB69-23CF-44E3-9099-C40C66FF867C}">
                    <a14:compatExt spid="_x0000_s39007"/>
                  </a:ext>
                  <a:ext uri="{FF2B5EF4-FFF2-40B4-BE49-F238E27FC236}">
                    <a16:creationId xmlns:a16="http://schemas.microsoft.com/office/drawing/2014/main" id="{00000000-0008-0000-1000-00005F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8" name="Option Button 96" hidden="1">
                <a:extLst>
                  <a:ext uri="{63B3BB69-23CF-44E3-9099-C40C66FF867C}">
                    <a14:compatExt spid="_x0000_s39008"/>
                  </a:ext>
                  <a:ext uri="{FF2B5EF4-FFF2-40B4-BE49-F238E27FC236}">
                    <a16:creationId xmlns:a16="http://schemas.microsoft.com/office/drawing/2014/main" id="{00000000-0008-0000-1000-000060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22</xdr:row>
      <xdr:rowOff>361951</xdr:rowOff>
    </xdr:from>
    <xdr:to>
      <xdr:col>1</xdr:col>
      <xdr:colOff>55245</xdr:colOff>
      <xdr:row>24</xdr:row>
      <xdr:rowOff>180976</xdr:rowOff>
    </xdr:to>
    <xdr:pic>
      <xdr:nvPicPr>
        <xdr:cNvPr id="119" name="Picture 2">
          <a:extLst>
            <a:ext uri="{FF2B5EF4-FFF2-40B4-BE49-F238E27FC236}">
              <a16:creationId xmlns:a16="http://schemas.microsoft.com/office/drawing/2014/main" id="{00000000-0008-0000-1000-00007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0" y="7029451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28</xdr:row>
      <xdr:rowOff>1</xdr:rowOff>
    </xdr:from>
    <xdr:to>
      <xdr:col>1</xdr:col>
      <xdr:colOff>62865</xdr:colOff>
      <xdr:row>29</xdr:row>
      <xdr:rowOff>314326</xdr:rowOff>
    </xdr:to>
    <xdr:pic>
      <xdr:nvPicPr>
        <xdr:cNvPr id="120" name="Picture 2">
          <a:extLst>
            <a:ext uri="{FF2B5EF4-FFF2-40B4-BE49-F238E27FC236}">
              <a16:creationId xmlns:a16="http://schemas.microsoft.com/office/drawing/2014/main" id="{00000000-0008-0000-1000-00007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6675" y="8867776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29</xdr:row>
          <xdr:rowOff>9591</xdr:rowOff>
        </xdr:from>
        <xdr:to>
          <xdr:col>16</xdr:col>
          <xdr:colOff>132300</xdr:colOff>
          <xdr:row>29</xdr:row>
          <xdr:rowOff>203596</xdr:rowOff>
        </xdr:to>
        <xdr:grpSp>
          <xdr:nvGrpSpPr>
            <xdr:cNvPr id="121" name="Gruppieren 120">
              <a:extLst>
                <a:ext uri="{FF2B5EF4-FFF2-40B4-BE49-F238E27FC236}">
                  <a16:creationId xmlns:a16="http://schemas.microsoft.com/office/drawing/2014/main" id="{00000000-0008-0000-1000-000079000000}"/>
                </a:ext>
              </a:extLst>
            </xdr:cNvPr>
            <xdr:cNvGrpSpPr/>
          </xdr:nvGrpSpPr>
          <xdr:grpSpPr>
            <a:xfrm>
              <a:off x="4427409" y="9016431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9009" name="Group Box 97" hidden="1">
                <a:extLst>
                  <a:ext uri="{63B3BB69-23CF-44E3-9099-C40C66FF867C}">
                    <a14:compatExt spid="_x0000_s39009"/>
                  </a:ext>
                  <a:ext uri="{FF2B5EF4-FFF2-40B4-BE49-F238E27FC236}">
                    <a16:creationId xmlns:a16="http://schemas.microsoft.com/office/drawing/2014/main" id="{00000000-0008-0000-1000-000061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10" name="Option Button 98" hidden="1">
                <a:extLst>
                  <a:ext uri="{63B3BB69-23CF-44E3-9099-C40C66FF867C}">
                    <a14:compatExt spid="_x0000_s39010"/>
                  </a:ext>
                  <a:ext uri="{FF2B5EF4-FFF2-40B4-BE49-F238E27FC236}">
                    <a16:creationId xmlns:a16="http://schemas.microsoft.com/office/drawing/2014/main" id="{00000000-0008-0000-1000-000062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1" name="Option Button 99" hidden="1">
                <a:extLst>
                  <a:ext uri="{63B3BB69-23CF-44E3-9099-C40C66FF867C}">
                    <a14:compatExt spid="_x0000_s39011"/>
                  </a:ext>
                  <a:ext uri="{FF2B5EF4-FFF2-40B4-BE49-F238E27FC236}">
                    <a16:creationId xmlns:a16="http://schemas.microsoft.com/office/drawing/2014/main" id="{00000000-0008-0000-1000-000063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2" name="Option Button 100" hidden="1">
                <a:extLst>
                  <a:ext uri="{63B3BB69-23CF-44E3-9099-C40C66FF867C}">
                    <a14:compatExt spid="_x0000_s39012"/>
                  </a:ext>
                  <a:ext uri="{FF2B5EF4-FFF2-40B4-BE49-F238E27FC236}">
                    <a16:creationId xmlns:a16="http://schemas.microsoft.com/office/drawing/2014/main" id="{00000000-0008-0000-1000-000064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3" name="Option Button 101" hidden="1">
                <a:extLst>
                  <a:ext uri="{63B3BB69-23CF-44E3-9099-C40C66FF867C}">
                    <a14:compatExt spid="_x0000_s39013"/>
                  </a:ext>
                  <a:ext uri="{FF2B5EF4-FFF2-40B4-BE49-F238E27FC236}">
                    <a16:creationId xmlns:a16="http://schemas.microsoft.com/office/drawing/2014/main" id="{00000000-0008-0000-1000-000065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4" name="Option Button 102" hidden="1">
                <a:extLst>
                  <a:ext uri="{63B3BB69-23CF-44E3-9099-C40C66FF867C}">
                    <a14:compatExt spid="_x0000_s39014"/>
                  </a:ext>
                  <a:ext uri="{FF2B5EF4-FFF2-40B4-BE49-F238E27FC236}">
                    <a16:creationId xmlns:a16="http://schemas.microsoft.com/office/drawing/2014/main" id="{00000000-0008-0000-1000-000066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30</xdr:row>
          <xdr:rowOff>9615</xdr:rowOff>
        </xdr:from>
        <xdr:to>
          <xdr:col>16</xdr:col>
          <xdr:colOff>132300</xdr:colOff>
          <xdr:row>30</xdr:row>
          <xdr:rowOff>194485</xdr:rowOff>
        </xdr:to>
        <xdr:grpSp>
          <xdr:nvGrpSpPr>
            <xdr:cNvPr id="128" name="Gruppieren 127">
              <a:extLst>
                <a:ext uri="{FF2B5EF4-FFF2-40B4-BE49-F238E27FC236}">
                  <a16:creationId xmlns:a16="http://schemas.microsoft.com/office/drawing/2014/main" id="{00000000-0008-0000-1000-000080000000}"/>
                </a:ext>
              </a:extLst>
            </xdr:cNvPr>
            <xdr:cNvGrpSpPr/>
          </xdr:nvGrpSpPr>
          <xdr:grpSpPr>
            <a:xfrm>
              <a:off x="4427409" y="9412695"/>
              <a:ext cx="2341911" cy="184870"/>
              <a:chOff x="3581389" y="2105418"/>
              <a:chExt cx="2247895" cy="276226"/>
            </a:xfrm>
          </xdr:grpSpPr>
          <xdr:sp macro="" textlink="">
            <xdr:nvSpPr>
              <xdr:cNvPr id="39015" name="Group Box 103" hidden="1">
                <a:extLst>
                  <a:ext uri="{63B3BB69-23CF-44E3-9099-C40C66FF867C}">
                    <a14:compatExt spid="_x0000_s39015"/>
                  </a:ext>
                  <a:ext uri="{FF2B5EF4-FFF2-40B4-BE49-F238E27FC236}">
                    <a16:creationId xmlns:a16="http://schemas.microsoft.com/office/drawing/2014/main" id="{00000000-0008-0000-1000-000067980000}"/>
                  </a:ext>
                </a:extLst>
              </xdr:cNvPr>
              <xdr:cNvSpPr/>
            </xdr:nvSpPr>
            <xdr:spPr bwMode="auto">
              <a:xfrm>
                <a:off x="3581389" y="2105418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16" name="Option Button 104" hidden="1">
                <a:extLst>
                  <a:ext uri="{63B3BB69-23CF-44E3-9099-C40C66FF867C}">
                    <a14:compatExt spid="_x0000_s39016"/>
                  </a:ext>
                  <a:ext uri="{FF2B5EF4-FFF2-40B4-BE49-F238E27FC236}">
                    <a16:creationId xmlns:a16="http://schemas.microsoft.com/office/drawing/2014/main" id="{00000000-0008-0000-1000-000068980000}"/>
                  </a:ext>
                </a:extLst>
              </xdr:cNvPr>
              <xdr:cNvSpPr/>
            </xdr:nvSpPr>
            <xdr:spPr bwMode="auto">
              <a:xfrm>
                <a:off x="3705226" y="215264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7" name="Option Button 105" hidden="1">
                <a:extLst>
                  <a:ext uri="{63B3BB69-23CF-44E3-9099-C40C66FF867C}">
                    <a14:compatExt spid="_x0000_s39017"/>
                  </a:ext>
                  <a:ext uri="{FF2B5EF4-FFF2-40B4-BE49-F238E27FC236}">
                    <a16:creationId xmlns:a16="http://schemas.microsoft.com/office/drawing/2014/main" id="{00000000-0008-0000-1000-00006998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8" name="Option Button 106" hidden="1">
                <a:extLst>
                  <a:ext uri="{63B3BB69-23CF-44E3-9099-C40C66FF867C}">
                    <a14:compatExt spid="_x0000_s39018"/>
                  </a:ext>
                  <a:ext uri="{FF2B5EF4-FFF2-40B4-BE49-F238E27FC236}">
                    <a16:creationId xmlns:a16="http://schemas.microsoft.com/office/drawing/2014/main" id="{00000000-0008-0000-1000-00006A980000}"/>
                  </a:ext>
                </a:extLst>
              </xdr:cNvPr>
              <xdr:cNvSpPr/>
            </xdr:nvSpPr>
            <xdr:spPr bwMode="auto">
              <a:xfrm>
                <a:off x="4581525" y="215264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9" name="Option Button 107" hidden="1">
                <a:extLst>
                  <a:ext uri="{63B3BB69-23CF-44E3-9099-C40C66FF867C}">
                    <a14:compatExt spid="_x0000_s39019"/>
                  </a:ext>
                  <a:ext uri="{FF2B5EF4-FFF2-40B4-BE49-F238E27FC236}">
                    <a16:creationId xmlns:a16="http://schemas.microsoft.com/office/drawing/2014/main" id="{00000000-0008-0000-1000-00006B98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20" name="Option Button 108" hidden="1">
                <a:extLst>
                  <a:ext uri="{63B3BB69-23CF-44E3-9099-C40C66FF867C}">
                    <a14:compatExt spid="_x0000_s39020"/>
                  </a:ext>
                  <a:ext uri="{FF2B5EF4-FFF2-40B4-BE49-F238E27FC236}">
                    <a16:creationId xmlns:a16="http://schemas.microsoft.com/office/drawing/2014/main" id="{00000000-0008-0000-1000-00006C980000}"/>
                  </a:ext>
                </a:extLst>
              </xdr:cNvPr>
              <xdr:cNvSpPr/>
            </xdr:nvSpPr>
            <xdr:spPr bwMode="auto">
              <a:xfrm>
                <a:off x="5457824" y="215264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1</xdr:colOff>
      <xdr:row>32</xdr:row>
      <xdr:rowOff>19050</xdr:rowOff>
    </xdr:from>
    <xdr:to>
      <xdr:col>0</xdr:col>
      <xdr:colOff>440263</xdr:colOff>
      <xdr:row>33</xdr:row>
      <xdr:rowOff>171450</xdr:rowOff>
    </xdr:to>
    <xdr:pic>
      <xdr:nvPicPr>
        <xdr:cNvPr id="135" name="Picture 2">
          <a:extLst>
            <a:ext uri="{FF2B5EF4-FFF2-40B4-BE49-F238E27FC236}">
              <a16:creationId xmlns:a16="http://schemas.microsoft.com/office/drawing/2014/main" id="{00000000-0008-0000-1000-00008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" y="10439400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31</xdr:row>
          <xdr:rowOff>9591</xdr:rowOff>
        </xdr:from>
        <xdr:to>
          <xdr:col>16</xdr:col>
          <xdr:colOff>132300</xdr:colOff>
          <xdr:row>31</xdr:row>
          <xdr:rowOff>203596</xdr:rowOff>
        </xdr:to>
        <xdr:grpSp>
          <xdr:nvGrpSpPr>
            <xdr:cNvPr id="136" name="Gruppieren 135">
              <a:extLst>
                <a:ext uri="{FF2B5EF4-FFF2-40B4-BE49-F238E27FC236}">
                  <a16:creationId xmlns:a16="http://schemas.microsoft.com/office/drawing/2014/main" id="{00000000-0008-0000-1000-000088000000}"/>
                </a:ext>
              </a:extLst>
            </xdr:cNvPr>
            <xdr:cNvGrpSpPr/>
          </xdr:nvGrpSpPr>
          <xdr:grpSpPr>
            <a:xfrm>
              <a:off x="4427409" y="9808911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9021" name="Group Box 109" hidden="1">
                <a:extLst>
                  <a:ext uri="{63B3BB69-23CF-44E3-9099-C40C66FF867C}">
                    <a14:compatExt spid="_x0000_s39021"/>
                  </a:ext>
                  <a:ext uri="{FF2B5EF4-FFF2-40B4-BE49-F238E27FC236}">
                    <a16:creationId xmlns:a16="http://schemas.microsoft.com/office/drawing/2014/main" id="{00000000-0008-0000-1000-00006D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22" name="Option Button 110" hidden="1">
                <a:extLst>
                  <a:ext uri="{63B3BB69-23CF-44E3-9099-C40C66FF867C}">
                    <a14:compatExt spid="_x0000_s39022"/>
                  </a:ext>
                  <a:ext uri="{FF2B5EF4-FFF2-40B4-BE49-F238E27FC236}">
                    <a16:creationId xmlns:a16="http://schemas.microsoft.com/office/drawing/2014/main" id="{00000000-0008-0000-1000-00006E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23" name="Option Button 111" hidden="1">
                <a:extLst>
                  <a:ext uri="{63B3BB69-23CF-44E3-9099-C40C66FF867C}">
                    <a14:compatExt spid="_x0000_s39023"/>
                  </a:ext>
                  <a:ext uri="{FF2B5EF4-FFF2-40B4-BE49-F238E27FC236}">
                    <a16:creationId xmlns:a16="http://schemas.microsoft.com/office/drawing/2014/main" id="{00000000-0008-0000-1000-00006F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24" name="Option Button 112" hidden="1">
                <a:extLst>
                  <a:ext uri="{63B3BB69-23CF-44E3-9099-C40C66FF867C}">
                    <a14:compatExt spid="_x0000_s39024"/>
                  </a:ext>
                  <a:ext uri="{FF2B5EF4-FFF2-40B4-BE49-F238E27FC236}">
                    <a16:creationId xmlns:a16="http://schemas.microsoft.com/office/drawing/2014/main" id="{00000000-0008-0000-1000-000070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25" name="Option Button 113" hidden="1">
                <a:extLst>
                  <a:ext uri="{63B3BB69-23CF-44E3-9099-C40C66FF867C}">
                    <a14:compatExt spid="_x0000_s39025"/>
                  </a:ext>
                  <a:ext uri="{FF2B5EF4-FFF2-40B4-BE49-F238E27FC236}">
                    <a16:creationId xmlns:a16="http://schemas.microsoft.com/office/drawing/2014/main" id="{00000000-0008-0000-1000-000071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26" name="Option Button 114" hidden="1">
                <a:extLst>
                  <a:ext uri="{63B3BB69-23CF-44E3-9099-C40C66FF867C}">
                    <a14:compatExt spid="_x0000_s39026"/>
                  </a:ext>
                  <a:ext uri="{FF2B5EF4-FFF2-40B4-BE49-F238E27FC236}">
                    <a16:creationId xmlns:a16="http://schemas.microsoft.com/office/drawing/2014/main" id="{00000000-0008-0000-1000-000072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33</xdr:row>
          <xdr:rowOff>19237</xdr:rowOff>
        </xdr:from>
        <xdr:to>
          <xdr:col>16</xdr:col>
          <xdr:colOff>132301</xdr:colOff>
          <xdr:row>33</xdr:row>
          <xdr:rowOff>204105</xdr:rowOff>
        </xdr:to>
        <xdr:grpSp>
          <xdr:nvGrpSpPr>
            <xdr:cNvPr id="143" name="Gruppieren 142">
              <a:extLst>
                <a:ext uri="{FF2B5EF4-FFF2-40B4-BE49-F238E27FC236}">
                  <a16:creationId xmlns:a16="http://schemas.microsoft.com/office/drawing/2014/main" id="{00000000-0008-0000-1000-00008F000000}"/>
                </a:ext>
              </a:extLst>
            </xdr:cNvPr>
            <xdr:cNvGrpSpPr/>
          </xdr:nvGrpSpPr>
          <xdr:grpSpPr>
            <a:xfrm>
              <a:off x="4427413" y="10565317"/>
              <a:ext cx="2341908" cy="184868"/>
              <a:chOff x="3581397" y="2105780"/>
              <a:chExt cx="2247892" cy="276222"/>
            </a:xfrm>
          </xdr:grpSpPr>
          <xdr:sp macro="" textlink="">
            <xdr:nvSpPr>
              <xdr:cNvPr id="39027" name="Group Box 115" hidden="1">
                <a:extLst>
                  <a:ext uri="{63B3BB69-23CF-44E3-9099-C40C66FF867C}">
                    <a14:compatExt spid="_x0000_s39027"/>
                  </a:ext>
                  <a:ext uri="{FF2B5EF4-FFF2-40B4-BE49-F238E27FC236}">
                    <a16:creationId xmlns:a16="http://schemas.microsoft.com/office/drawing/2014/main" id="{00000000-0008-0000-1000-000073980000}"/>
                  </a:ext>
                </a:extLst>
              </xdr:cNvPr>
              <xdr:cNvSpPr/>
            </xdr:nvSpPr>
            <xdr:spPr bwMode="auto">
              <a:xfrm>
                <a:off x="3581397" y="2105780"/>
                <a:ext cx="2247892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28" name="Option Button 116" hidden="1">
                <a:extLst>
                  <a:ext uri="{63B3BB69-23CF-44E3-9099-C40C66FF867C}">
                    <a14:compatExt spid="_x0000_s39028"/>
                  </a:ext>
                  <a:ext uri="{FF2B5EF4-FFF2-40B4-BE49-F238E27FC236}">
                    <a16:creationId xmlns:a16="http://schemas.microsoft.com/office/drawing/2014/main" id="{00000000-0008-0000-1000-000074980000}"/>
                  </a:ext>
                </a:extLst>
              </xdr:cNvPr>
              <xdr:cNvSpPr/>
            </xdr:nvSpPr>
            <xdr:spPr bwMode="auto">
              <a:xfrm>
                <a:off x="370522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29" name="Option Button 117" hidden="1">
                <a:extLst>
                  <a:ext uri="{63B3BB69-23CF-44E3-9099-C40C66FF867C}">
                    <a14:compatExt spid="_x0000_s39029"/>
                  </a:ext>
                  <a:ext uri="{FF2B5EF4-FFF2-40B4-BE49-F238E27FC236}">
                    <a16:creationId xmlns:a16="http://schemas.microsoft.com/office/drawing/2014/main" id="{00000000-0008-0000-1000-0000759800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0" name="Option Button 118" hidden="1">
                <a:extLst>
                  <a:ext uri="{63B3BB69-23CF-44E3-9099-C40C66FF867C}">
                    <a14:compatExt spid="_x0000_s39030"/>
                  </a:ext>
                  <a:ext uri="{FF2B5EF4-FFF2-40B4-BE49-F238E27FC236}">
                    <a16:creationId xmlns:a16="http://schemas.microsoft.com/office/drawing/2014/main" id="{00000000-0008-0000-1000-000076980000}"/>
                  </a:ext>
                </a:extLst>
              </xdr:cNvPr>
              <xdr:cNvSpPr/>
            </xdr:nvSpPr>
            <xdr:spPr bwMode="auto">
              <a:xfrm>
                <a:off x="45815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1" name="Option Button 119" hidden="1">
                <a:extLst>
                  <a:ext uri="{63B3BB69-23CF-44E3-9099-C40C66FF867C}">
                    <a14:compatExt spid="_x0000_s39031"/>
                  </a:ext>
                  <a:ext uri="{FF2B5EF4-FFF2-40B4-BE49-F238E27FC236}">
                    <a16:creationId xmlns:a16="http://schemas.microsoft.com/office/drawing/2014/main" id="{00000000-0008-0000-1000-0000779800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2" name="Option Button 120" hidden="1">
                <a:extLst>
                  <a:ext uri="{63B3BB69-23CF-44E3-9099-C40C66FF867C}">
                    <a14:compatExt spid="_x0000_s39032"/>
                  </a:ext>
                  <a:ext uri="{FF2B5EF4-FFF2-40B4-BE49-F238E27FC236}">
                    <a16:creationId xmlns:a16="http://schemas.microsoft.com/office/drawing/2014/main" id="{00000000-0008-0000-1000-000078980000}"/>
                  </a:ext>
                </a:extLst>
              </xdr:cNvPr>
              <xdr:cNvSpPr/>
            </xdr:nvSpPr>
            <xdr:spPr bwMode="auto">
              <a:xfrm>
                <a:off x="54578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34</xdr:row>
          <xdr:rowOff>19053</xdr:rowOff>
        </xdr:from>
        <xdr:to>
          <xdr:col>16</xdr:col>
          <xdr:colOff>132301</xdr:colOff>
          <xdr:row>34</xdr:row>
          <xdr:rowOff>194786</xdr:rowOff>
        </xdr:to>
        <xdr:grpSp>
          <xdr:nvGrpSpPr>
            <xdr:cNvPr id="150" name="Gruppieren 149">
              <a:extLst>
                <a:ext uri="{FF2B5EF4-FFF2-40B4-BE49-F238E27FC236}">
                  <a16:creationId xmlns:a16="http://schemas.microsoft.com/office/drawing/2014/main" id="{00000000-0008-0000-1000-000096000000}"/>
                </a:ext>
              </a:extLst>
            </xdr:cNvPr>
            <xdr:cNvGrpSpPr/>
          </xdr:nvGrpSpPr>
          <xdr:grpSpPr>
            <a:xfrm>
              <a:off x="4427413" y="10961373"/>
              <a:ext cx="2341908" cy="175733"/>
              <a:chOff x="3581397" y="2105537"/>
              <a:chExt cx="2247892" cy="276224"/>
            </a:xfrm>
          </xdr:grpSpPr>
          <xdr:sp macro="" textlink="">
            <xdr:nvSpPr>
              <xdr:cNvPr id="39033" name="Group Box 121" hidden="1">
                <a:extLst>
                  <a:ext uri="{63B3BB69-23CF-44E3-9099-C40C66FF867C}">
                    <a14:compatExt spid="_x0000_s39033"/>
                  </a:ext>
                  <a:ext uri="{FF2B5EF4-FFF2-40B4-BE49-F238E27FC236}">
                    <a16:creationId xmlns:a16="http://schemas.microsoft.com/office/drawing/2014/main" id="{00000000-0008-0000-1000-000079980000}"/>
                  </a:ext>
                </a:extLst>
              </xdr:cNvPr>
              <xdr:cNvSpPr/>
            </xdr:nvSpPr>
            <xdr:spPr bwMode="auto">
              <a:xfrm>
                <a:off x="3581397" y="2105537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34" name="Option Button 122" hidden="1">
                <a:extLst>
                  <a:ext uri="{63B3BB69-23CF-44E3-9099-C40C66FF867C}">
                    <a14:compatExt spid="_x0000_s39034"/>
                  </a:ext>
                  <a:ext uri="{FF2B5EF4-FFF2-40B4-BE49-F238E27FC236}">
                    <a16:creationId xmlns:a16="http://schemas.microsoft.com/office/drawing/2014/main" id="{00000000-0008-0000-1000-00007A98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5" name="Option Button 123" hidden="1">
                <a:extLst>
                  <a:ext uri="{63B3BB69-23CF-44E3-9099-C40C66FF867C}">
                    <a14:compatExt spid="_x0000_s39035"/>
                  </a:ext>
                  <a:ext uri="{FF2B5EF4-FFF2-40B4-BE49-F238E27FC236}">
                    <a16:creationId xmlns:a16="http://schemas.microsoft.com/office/drawing/2014/main" id="{00000000-0008-0000-1000-00007B98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6" name="Option Button 124" hidden="1">
                <a:extLst>
                  <a:ext uri="{63B3BB69-23CF-44E3-9099-C40C66FF867C}">
                    <a14:compatExt spid="_x0000_s39036"/>
                  </a:ext>
                  <a:ext uri="{FF2B5EF4-FFF2-40B4-BE49-F238E27FC236}">
                    <a16:creationId xmlns:a16="http://schemas.microsoft.com/office/drawing/2014/main" id="{00000000-0008-0000-1000-00007C98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7" name="Option Button 125" hidden="1">
                <a:extLst>
                  <a:ext uri="{63B3BB69-23CF-44E3-9099-C40C66FF867C}">
                    <a14:compatExt spid="_x0000_s39037"/>
                  </a:ext>
                  <a:ext uri="{FF2B5EF4-FFF2-40B4-BE49-F238E27FC236}">
                    <a16:creationId xmlns:a16="http://schemas.microsoft.com/office/drawing/2014/main" id="{00000000-0008-0000-1000-00007D98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8" name="Option Button 126" hidden="1">
                <a:extLst>
                  <a:ext uri="{63B3BB69-23CF-44E3-9099-C40C66FF867C}">
                    <a14:compatExt spid="_x0000_s39038"/>
                  </a:ext>
                  <a:ext uri="{FF2B5EF4-FFF2-40B4-BE49-F238E27FC236}">
                    <a16:creationId xmlns:a16="http://schemas.microsoft.com/office/drawing/2014/main" id="{00000000-0008-0000-1000-00007E98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35</xdr:row>
          <xdr:rowOff>19053</xdr:rowOff>
        </xdr:from>
        <xdr:to>
          <xdr:col>16</xdr:col>
          <xdr:colOff>132301</xdr:colOff>
          <xdr:row>35</xdr:row>
          <xdr:rowOff>194786</xdr:rowOff>
        </xdr:to>
        <xdr:grpSp>
          <xdr:nvGrpSpPr>
            <xdr:cNvPr id="157" name="Gruppieren 156">
              <a:extLst>
                <a:ext uri="{FF2B5EF4-FFF2-40B4-BE49-F238E27FC236}">
                  <a16:creationId xmlns:a16="http://schemas.microsoft.com/office/drawing/2014/main" id="{00000000-0008-0000-1000-00009D000000}"/>
                </a:ext>
              </a:extLst>
            </xdr:cNvPr>
            <xdr:cNvGrpSpPr/>
          </xdr:nvGrpSpPr>
          <xdr:grpSpPr>
            <a:xfrm>
              <a:off x="4427413" y="11357613"/>
              <a:ext cx="2341908" cy="175733"/>
              <a:chOff x="3581397" y="2105537"/>
              <a:chExt cx="2247892" cy="276224"/>
            </a:xfrm>
          </xdr:grpSpPr>
          <xdr:sp macro="" textlink="">
            <xdr:nvSpPr>
              <xdr:cNvPr id="39039" name="Group Box 127" hidden="1">
                <a:extLst>
                  <a:ext uri="{63B3BB69-23CF-44E3-9099-C40C66FF867C}">
                    <a14:compatExt spid="_x0000_s39039"/>
                  </a:ext>
                  <a:ext uri="{FF2B5EF4-FFF2-40B4-BE49-F238E27FC236}">
                    <a16:creationId xmlns:a16="http://schemas.microsoft.com/office/drawing/2014/main" id="{00000000-0008-0000-1000-00007F980000}"/>
                  </a:ext>
                </a:extLst>
              </xdr:cNvPr>
              <xdr:cNvSpPr/>
            </xdr:nvSpPr>
            <xdr:spPr bwMode="auto">
              <a:xfrm>
                <a:off x="3581397" y="2105537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40" name="Option Button 128" hidden="1">
                <a:extLst>
                  <a:ext uri="{63B3BB69-23CF-44E3-9099-C40C66FF867C}">
                    <a14:compatExt spid="_x0000_s39040"/>
                  </a:ext>
                  <a:ext uri="{FF2B5EF4-FFF2-40B4-BE49-F238E27FC236}">
                    <a16:creationId xmlns:a16="http://schemas.microsoft.com/office/drawing/2014/main" id="{00000000-0008-0000-1000-00008098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1" name="Option Button 129" hidden="1">
                <a:extLst>
                  <a:ext uri="{63B3BB69-23CF-44E3-9099-C40C66FF867C}">
                    <a14:compatExt spid="_x0000_s39041"/>
                  </a:ext>
                  <a:ext uri="{FF2B5EF4-FFF2-40B4-BE49-F238E27FC236}">
                    <a16:creationId xmlns:a16="http://schemas.microsoft.com/office/drawing/2014/main" id="{00000000-0008-0000-1000-00008198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2" name="Option Button 130" hidden="1">
                <a:extLst>
                  <a:ext uri="{63B3BB69-23CF-44E3-9099-C40C66FF867C}">
                    <a14:compatExt spid="_x0000_s39042"/>
                  </a:ext>
                  <a:ext uri="{FF2B5EF4-FFF2-40B4-BE49-F238E27FC236}">
                    <a16:creationId xmlns:a16="http://schemas.microsoft.com/office/drawing/2014/main" id="{00000000-0008-0000-1000-00008298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3" name="Option Button 131" hidden="1">
                <a:extLst>
                  <a:ext uri="{63B3BB69-23CF-44E3-9099-C40C66FF867C}">
                    <a14:compatExt spid="_x0000_s39043"/>
                  </a:ext>
                  <a:ext uri="{FF2B5EF4-FFF2-40B4-BE49-F238E27FC236}">
                    <a16:creationId xmlns:a16="http://schemas.microsoft.com/office/drawing/2014/main" id="{00000000-0008-0000-1000-00008398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4" name="Option Button 132" hidden="1">
                <a:extLst>
                  <a:ext uri="{63B3BB69-23CF-44E3-9099-C40C66FF867C}">
                    <a14:compatExt spid="_x0000_s39044"/>
                  </a:ext>
                  <a:ext uri="{FF2B5EF4-FFF2-40B4-BE49-F238E27FC236}">
                    <a16:creationId xmlns:a16="http://schemas.microsoft.com/office/drawing/2014/main" id="{00000000-0008-0000-1000-00008498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36</xdr:row>
          <xdr:rowOff>19053</xdr:rowOff>
        </xdr:from>
        <xdr:to>
          <xdr:col>16</xdr:col>
          <xdr:colOff>132301</xdr:colOff>
          <xdr:row>36</xdr:row>
          <xdr:rowOff>194786</xdr:rowOff>
        </xdr:to>
        <xdr:grpSp>
          <xdr:nvGrpSpPr>
            <xdr:cNvPr id="164" name="Gruppieren 163">
              <a:extLst>
                <a:ext uri="{FF2B5EF4-FFF2-40B4-BE49-F238E27FC236}">
                  <a16:creationId xmlns:a16="http://schemas.microsoft.com/office/drawing/2014/main" id="{00000000-0008-0000-1000-0000A4000000}"/>
                </a:ext>
              </a:extLst>
            </xdr:cNvPr>
            <xdr:cNvGrpSpPr/>
          </xdr:nvGrpSpPr>
          <xdr:grpSpPr>
            <a:xfrm>
              <a:off x="4427413" y="11753853"/>
              <a:ext cx="2341908" cy="175733"/>
              <a:chOff x="3581397" y="2105537"/>
              <a:chExt cx="2247892" cy="276224"/>
            </a:xfrm>
          </xdr:grpSpPr>
          <xdr:sp macro="" textlink="">
            <xdr:nvSpPr>
              <xdr:cNvPr id="39045" name="Group Box 133" hidden="1">
                <a:extLst>
                  <a:ext uri="{63B3BB69-23CF-44E3-9099-C40C66FF867C}">
                    <a14:compatExt spid="_x0000_s39045"/>
                  </a:ext>
                  <a:ext uri="{FF2B5EF4-FFF2-40B4-BE49-F238E27FC236}">
                    <a16:creationId xmlns:a16="http://schemas.microsoft.com/office/drawing/2014/main" id="{00000000-0008-0000-1000-000085980000}"/>
                  </a:ext>
                </a:extLst>
              </xdr:cNvPr>
              <xdr:cNvSpPr/>
            </xdr:nvSpPr>
            <xdr:spPr bwMode="auto">
              <a:xfrm>
                <a:off x="3581397" y="2105537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46" name="Option Button 134" hidden="1">
                <a:extLst>
                  <a:ext uri="{63B3BB69-23CF-44E3-9099-C40C66FF867C}">
                    <a14:compatExt spid="_x0000_s39046"/>
                  </a:ext>
                  <a:ext uri="{FF2B5EF4-FFF2-40B4-BE49-F238E27FC236}">
                    <a16:creationId xmlns:a16="http://schemas.microsoft.com/office/drawing/2014/main" id="{00000000-0008-0000-1000-00008698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7" name="Option Button 135" hidden="1">
                <a:extLst>
                  <a:ext uri="{63B3BB69-23CF-44E3-9099-C40C66FF867C}">
                    <a14:compatExt spid="_x0000_s39047"/>
                  </a:ext>
                  <a:ext uri="{FF2B5EF4-FFF2-40B4-BE49-F238E27FC236}">
                    <a16:creationId xmlns:a16="http://schemas.microsoft.com/office/drawing/2014/main" id="{00000000-0008-0000-1000-00008798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8" name="Option Button 136" hidden="1">
                <a:extLst>
                  <a:ext uri="{63B3BB69-23CF-44E3-9099-C40C66FF867C}">
                    <a14:compatExt spid="_x0000_s39048"/>
                  </a:ext>
                  <a:ext uri="{FF2B5EF4-FFF2-40B4-BE49-F238E27FC236}">
                    <a16:creationId xmlns:a16="http://schemas.microsoft.com/office/drawing/2014/main" id="{00000000-0008-0000-1000-00008898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9" name="Option Button 137" hidden="1">
                <a:extLst>
                  <a:ext uri="{63B3BB69-23CF-44E3-9099-C40C66FF867C}">
                    <a14:compatExt spid="_x0000_s39049"/>
                  </a:ext>
                  <a:ext uri="{FF2B5EF4-FFF2-40B4-BE49-F238E27FC236}">
                    <a16:creationId xmlns:a16="http://schemas.microsoft.com/office/drawing/2014/main" id="{00000000-0008-0000-1000-00008998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50" name="Option Button 138" hidden="1">
                <a:extLst>
                  <a:ext uri="{63B3BB69-23CF-44E3-9099-C40C66FF867C}">
                    <a14:compatExt spid="_x0000_s39050"/>
                  </a:ext>
                  <a:ext uri="{FF2B5EF4-FFF2-40B4-BE49-F238E27FC236}">
                    <a16:creationId xmlns:a16="http://schemas.microsoft.com/office/drawing/2014/main" id="{00000000-0008-0000-1000-00008A98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37</xdr:row>
          <xdr:rowOff>19237</xdr:rowOff>
        </xdr:from>
        <xdr:to>
          <xdr:col>16</xdr:col>
          <xdr:colOff>132301</xdr:colOff>
          <xdr:row>37</xdr:row>
          <xdr:rowOff>204105</xdr:rowOff>
        </xdr:to>
        <xdr:grpSp>
          <xdr:nvGrpSpPr>
            <xdr:cNvPr id="171" name="Gruppieren 170">
              <a:extLst>
                <a:ext uri="{FF2B5EF4-FFF2-40B4-BE49-F238E27FC236}">
                  <a16:creationId xmlns:a16="http://schemas.microsoft.com/office/drawing/2014/main" id="{00000000-0008-0000-1000-0000AB000000}"/>
                </a:ext>
              </a:extLst>
            </xdr:cNvPr>
            <xdr:cNvGrpSpPr/>
          </xdr:nvGrpSpPr>
          <xdr:grpSpPr>
            <a:xfrm>
              <a:off x="4427413" y="12150277"/>
              <a:ext cx="2341908" cy="184868"/>
              <a:chOff x="3581397" y="2105780"/>
              <a:chExt cx="2247892" cy="276222"/>
            </a:xfrm>
          </xdr:grpSpPr>
          <xdr:sp macro="" textlink="">
            <xdr:nvSpPr>
              <xdr:cNvPr id="39051" name="Group Box 139" hidden="1">
                <a:extLst>
                  <a:ext uri="{63B3BB69-23CF-44E3-9099-C40C66FF867C}">
                    <a14:compatExt spid="_x0000_s39051"/>
                  </a:ext>
                  <a:ext uri="{FF2B5EF4-FFF2-40B4-BE49-F238E27FC236}">
                    <a16:creationId xmlns:a16="http://schemas.microsoft.com/office/drawing/2014/main" id="{00000000-0008-0000-1000-00008B980000}"/>
                  </a:ext>
                </a:extLst>
              </xdr:cNvPr>
              <xdr:cNvSpPr/>
            </xdr:nvSpPr>
            <xdr:spPr bwMode="auto">
              <a:xfrm>
                <a:off x="3581397" y="2105780"/>
                <a:ext cx="2247892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52" name="Option Button 140" hidden="1">
                <a:extLst>
                  <a:ext uri="{63B3BB69-23CF-44E3-9099-C40C66FF867C}">
                    <a14:compatExt spid="_x0000_s39052"/>
                  </a:ext>
                  <a:ext uri="{FF2B5EF4-FFF2-40B4-BE49-F238E27FC236}">
                    <a16:creationId xmlns:a16="http://schemas.microsoft.com/office/drawing/2014/main" id="{00000000-0008-0000-1000-00008C980000}"/>
                  </a:ext>
                </a:extLst>
              </xdr:cNvPr>
              <xdr:cNvSpPr/>
            </xdr:nvSpPr>
            <xdr:spPr bwMode="auto">
              <a:xfrm>
                <a:off x="370522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53" name="Option Button 141" hidden="1">
                <a:extLst>
                  <a:ext uri="{63B3BB69-23CF-44E3-9099-C40C66FF867C}">
                    <a14:compatExt spid="_x0000_s39053"/>
                  </a:ext>
                  <a:ext uri="{FF2B5EF4-FFF2-40B4-BE49-F238E27FC236}">
                    <a16:creationId xmlns:a16="http://schemas.microsoft.com/office/drawing/2014/main" id="{00000000-0008-0000-1000-00008D9800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54" name="Option Button 142" hidden="1">
                <a:extLst>
                  <a:ext uri="{63B3BB69-23CF-44E3-9099-C40C66FF867C}">
                    <a14:compatExt spid="_x0000_s39054"/>
                  </a:ext>
                  <a:ext uri="{FF2B5EF4-FFF2-40B4-BE49-F238E27FC236}">
                    <a16:creationId xmlns:a16="http://schemas.microsoft.com/office/drawing/2014/main" id="{00000000-0008-0000-1000-00008E980000}"/>
                  </a:ext>
                </a:extLst>
              </xdr:cNvPr>
              <xdr:cNvSpPr/>
            </xdr:nvSpPr>
            <xdr:spPr bwMode="auto">
              <a:xfrm>
                <a:off x="45815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55" name="Option Button 143" hidden="1">
                <a:extLst>
                  <a:ext uri="{63B3BB69-23CF-44E3-9099-C40C66FF867C}">
                    <a14:compatExt spid="_x0000_s39055"/>
                  </a:ext>
                  <a:ext uri="{FF2B5EF4-FFF2-40B4-BE49-F238E27FC236}">
                    <a16:creationId xmlns:a16="http://schemas.microsoft.com/office/drawing/2014/main" id="{00000000-0008-0000-1000-00008F9800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56" name="Option Button 144" hidden="1">
                <a:extLst>
                  <a:ext uri="{63B3BB69-23CF-44E3-9099-C40C66FF867C}">
                    <a14:compatExt spid="_x0000_s39056"/>
                  </a:ext>
                  <a:ext uri="{FF2B5EF4-FFF2-40B4-BE49-F238E27FC236}">
                    <a16:creationId xmlns:a16="http://schemas.microsoft.com/office/drawing/2014/main" id="{00000000-0008-0000-1000-000090980000}"/>
                  </a:ext>
                </a:extLst>
              </xdr:cNvPr>
              <xdr:cNvSpPr/>
            </xdr:nvSpPr>
            <xdr:spPr bwMode="auto">
              <a:xfrm>
                <a:off x="54578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39</xdr:row>
          <xdr:rowOff>28578</xdr:rowOff>
        </xdr:from>
        <xdr:to>
          <xdr:col>16</xdr:col>
          <xdr:colOff>132301</xdr:colOff>
          <xdr:row>39</xdr:row>
          <xdr:rowOff>204311</xdr:rowOff>
        </xdr:to>
        <xdr:grpSp>
          <xdr:nvGrpSpPr>
            <xdr:cNvPr id="178" name="Gruppieren 177">
              <a:extLst>
                <a:ext uri="{FF2B5EF4-FFF2-40B4-BE49-F238E27FC236}">
                  <a16:creationId xmlns:a16="http://schemas.microsoft.com/office/drawing/2014/main" id="{00000000-0008-0000-1000-0000B2000000}"/>
                </a:ext>
              </a:extLst>
            </xdr:cNvPr>
            <xdr:cNvGrpSpPr/>
          </xdr:nvGrpSpPr>
          <xdr:grpSpPr>
            <a:xfrm>
              <a:off x="4427413" y="12952098"/>
              <a:ext cx="2341908" cy="175733"/>
              <a:chOff x="3581397" y="2105537"/>
              <a:chExt cx="2247892" cy="276224"/>
            </a:xfrm>
          </xdr:grpSpPr>
          <xdr:sp macro="" textlink="">
            <xdr:nvSpPr>
              <xdr:cNvPr id="39057" name="Group Box 145" hidden="1">
                <a:extLst>
                  <a:ext uri="{63B3BB69-23CF-44E3-9099-C40C66FF867C}">
                    <a14:compatExt spid="_x0000_s39057"/>
                  </a:ext>
                  <a:ext uri="{FF2B5EF4-FFF2-40B4-BE49-F238E27FC236}">
                    <a16:creationId xmlns:a16="http://schemas.microsoft.com/office/drawing/2014/main" id="{00000000-0008-0000-1000-000091980000}"/>
                  </a:ext>
                </a:extLst>
              </xdr:cNvPr>
              <xdr:cNvSpPr/>
            </xdr:nvSpPr>
            <xdr:spPr bwMode="auto">
              <a:xfrm>
                <a:off x="3581397" y="2105537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58" name="Option Button 146" hidden="1">
                <a:extLst>
                  <a:ext uri="{63B3BB69-23CF-44E3-9099-C40C66FF867C}">
                    <a14:compatExt spid="_x0000_s39058"/>
                  </a:ext>
                  <a:ext uri="{FF2B5EF4-FFF2-40B4-BE49-F238E27FC236}">
                    <a16:creationId xmlns:a16="http://schemas.microsoft.com/office/drawing/2014/main" id="{00000000-0008-0000-1000-00009298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59" name="Option Button 147" hidden="1">
                <a:extLst>
                  <a:ext uri="{63B3BB69-23CF-44E3-9099-C40C66FF867C}">
                    <a14:compatExt spid="_x0000_s39059"/>
                  </a:ext>
                  <a:ext uri="{FF2B5EF4-FFF2-40B4-BE49-F238E27FC236}">
                    <a16:creationId xmlns:a16="http://schemas.microsoft.com/office/drawing/2014/main" id="{00000000-0008-0000-1000-00009398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0" name="Option Button 148" hidden="1">
                <a:extLst>
                  <a:ext uri="{63B3BB69-23CF-44E3-9099-C40C66FF867C}">
                    <a14:compatExt spid="_x0000_s39060"/>
                  </a:ext>
                  <a:ext uri="{FF2B5EF4-FFF2-40B4-BE49-F238E27FC236}">
                    <a16:creationId xmlns:a16="http://schemas.microsoft.com/office/drawing/2014/main" id="{00000000-0008-0000-1000-00009498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1" name="Option Button 149" hidden="1">
                <a:extLst>
                  <a:ext uri="{63B3BB69-23CF-44E3-9099-C40C66FF867C}">
                    <a14:compatExt spid="_x0000_s39061"/>
                  </a:ext>
                  <a:ext uri="{FF2B5EF4-FFF2-40B4-BE49-F238E27FC236}">
                    <a16:creationId xmlns:a16="http://schemas.microsoft.com/office/drawing/2014/main" id="{00000000-0008-0000-1000-00009598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2" name="Option Button 150" hidden="1">
                <a:extLst>
                  <a:ext uri="{63B3BB69-23CF-44E3-9099-C40C66FF867C}">
                    <a14:compatExt spid="_x0000_s39062"/>
                  </a:ext>
                  <a:ext uri="{FF2B5EF4-FFF2-40B4-BE49-F238E27FC236}">
                    <a16:creationId xmlns:a16="http://schemas.microsoft.com/office/drawing/2014/main" id="{00000000-0008-0000-1000-00009698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28576</xdr:colOff>
      <xdr:row>39</xdr:row>
      <xdr:rowOff>361950</xdr:rowOff>
    </xdr:from>
    <xdr:to>
      <xdr:col>1</xdr:col>
      <xdr:colOff>1</xdr:colOff>
      <xdr:row>41</xdr:row>
      <xdr:rowOff>190898</xdr:rowOff>
    </xdr:to>
    <xdr:pic>
      <xdr:nvPicPr>
        <xdr:cNvPr id="185" name="Picture 2">
          <a:extLst>
            <a:ext uri="{FF2B5EF4-FFF2-40B4-BE49-F238E27FC236}">
              <a16:creationId xmlns:a16="http://schemas.microsoft.com/office/drawing/2014/main" id="{00000000-0008-0000-1000-0000B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8576" y="13382625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41</xdr:row>
          <xdr:rowOff>9591</xdr:rowOff>
        </xdr:from>
        <xdr:to>
          <xdr:col>16</xdr:col>
          <xdr:colOff>132300</xdr:colOff>
          <xdr:row>41</xdr:row>
          <xdr:rowOff>203596</xdr:rowOff>
        </xdr:to>
        <xdr:grpSp>
          <xdr:nvGrpSpPr>
            <xdr:cNvPr id="186" name="Gruppieren 185">
              <a:extLst>
                <a:ext uri="{FF2B5EF4-FFF2-40B4-BE49-F238E27FC236}">
                  <a16:creationId xmlns:a16="http://schemas.microsoft.com/office/drawing/2014/main" id="{00000000-0008-0000-1000-0000BA000000}"/>
                </a:ext>
              </a:extLst>
            </xdr:cNvPr>
            <xdr:cNvGrpSpPr/>
          </xdr:nvGrpSpPr>
          <xdr:grpSpPr>
            <a:xfrm>
              <a:off x="4427409" y="13527471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9063" name="Group Box 151" hidden="1">
                <a:extLst>
                  <a:ext uri="{63B3BB69-23CF-44E3-9099-C40C66FF867C}">
                    <a14:compatExt spid="_x0000_s39063"/>
                  </a:ext>
                  <a:ext uri="{FF2B5EF4-FFF2-40B4-BE49-F238E27FC236}">
                    <a16:creationId xmlns:a16="http://schemas.microsoft.com/office/drawing/2014/main" id="{00000000-0008-0000-1000-000097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64" name="Option Button 152" hidden="1">
                <a:extLst>
                  <a:ext uri="{63B3BB69-23CF-44E3-9099-C40C66FF867C}">
                    <a14:compatExt spid="_x0000_s39064"/>
                  </a:ext>
                  <a:ext uri="{FF2B5EF4-FFF2-40B4-BE49-F238E27FC236}">
                    <a16:creationId xmlns:a16="http://schemas.microsoft.com/office/drawing/2014/main" id="{00000000-0008-0000-1000-000098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5" name="Option Button 153" hidden="1">
                <a:extLst>
                  <a:ext uri="{63B3BB69-23CF-44E3-9099-C40C66FF867C}">
                    <a14:compatExt spid="_x0000_s39065"/>
                  </a:ext>
                  <a:ext uri="{FF2B5EF4-FFF2-40B4-BE49-F238E27FC236}">
                    <a16:creationId xmlns:a16="http://schemas.microsoft.com/office/drawing/2014/main" id="{00000000-0008-0000-1000-000099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6" name="Option Button 154" hidden="1">
                <a:extLst>
                  <a:ext uri="{63B3BB69-23CF-44E3-9099-C40C66FF867C}">
                    <a14:compatExt spid="_x0000_s39066"/>
                  </a:ext>
                  <a:ext uri="{FF2B5EF4-FFF2-40B4-BE49-F238E27FC236}">
                    <a16:creationId xmlns:a16="http://schemas.microsoft.com/office/drawing/2014/main" id="{00000000-0008-0000-1000-00009A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7" name="Option Button 155" hidden="1">
                <a:extLst>
                  <a:ext uri="{63B3BB69-23CF-44E3-9099-C40C66FF867C}">
                    <a14:compatExt spid="_x0000_s39067"/>
                  </a:ext>
                  <a:ext uri="{FF2B5EF4-FFF2-40B4-BE49-F238E27FC236}">
                    <a16:creationId xmlns:a16="http://schemas.microsoft.com/office/drawing/2014/main" id="{00000000-0008-0000-1000-00009B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8" name="Option Button 156" hidden="1">
                <a:extLst>
                  <a:ext uri="{63B3BB69-23CF-44E3-9099-C40C66FF867C}">
                    <a14:compatExt spid="_x0000_s39068"/>
                  </a:ext>
                  <a:ext uri="{FF2B5EF4-FFF2-40B4-BE49-F238E27FC236}">
                    <a16:creationId xmlns:a16="http://schemas.microsoft.com/office/drawing/2014/main" id="{00000000-0008-0000-1000-00009C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42</xdr:row>
          <xdr:rowOff>9591</xdr:rowOff>
        </xdr:from>
        <xdr:to>
          <xdr:col>16</xdr:col>
          <xdr:colOff>132300</xdr:colOff>
          <xdr:row>42</xdr:row>
          <xdr:rowOff>203596</xdr:rowOff>
        </xdr:to>
        <xdr:grpSp>
          <xdr:nvGrpSpPr>
            <xdr:cNvPr id="193" name="Gruppieren 192">
              <a:extLst>
                <a:ext uri="{FF2B5EF4-FFF2-40B4-BE49-F238E27FC236}">
                  <a16:creationId xmlns:a16="http://schemas.microsoft.com/office/drawing/2014/main" id="{00000000-0008-0000-1000-0000C1000000}"/>
                </a:ext>
              </a:extLst>
            </xdr:cNvPr>
            <xdr:cNvGrpSpPr/>
          </xdr:nvGrpSpPr>
          <xdr:grpSpPr>
            <a:xfrm>
              <a:off x="4427409" y="13923711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9069" name="Group Box 157" hidden="1">
                <a:extLst>
                  <a:ext uri="{63B3BB69-23CF-44E3-9099-C40C66FF867C}">
                    <a14:compatExt spid="_x0000_s39069"/>
                  </a:ext>
                  <a:ext uri="{FF2B5EF4-FFF2-40B4-BE49-F238E27FC236}">
                    <a16:creationId xmlns:a16="http://schemas.microsoft.com/office/drawing/2014/main" id="{00000000-0008-0000-1000-00009D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70" name="Option Button 158" hidden="1">
                <a:extLst>
                  <a:ext uri="{63B3BB69-23CF-44E3-9099-C40C66FF867C}">
                    <a14:compatExt spid="_x0000_s39070"/>
                  </a:ext>
                  <a:ext uri="{FF2B5EF4-FFF2-40B4-BE49-F238E27FC236}">
                    <a16:creationId xmlns:a16="http://schemas.microsoft.com/office/drawing/2014/main" id="{00000000-0008-0000-1000-00009E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1" name="Option Button 159" hidden="1">
                <a:extLst>
                  <a:ext uri="{63B3BB69-23CF-44E3-9099-C40C66FF867C}">
                    <a14:compatExt spid="_x0000_s39071"/>
                  </a:ext>
                  <a:ext uri="{FF2B5EF4-FFF2-40B4-BE49-F238E27FC236}">
                    <a16:creationId xmlns:a16="http://schemas.microsoft.com/office/drawing/2014/main" id="{00000000-0008-0000-1000-00009F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2" name="Option Button 160" hidden="1">
                <a:extLst>
                  <a:ext uri="{63B3BB69-23CF-44E3-9099-C40C66FF867C}">
                    <a14:compatExt spid="_x0000_s39072"/>
                  </a:ext>
                  <a:ext uri="{FF2B5EF4-FFF2-40B4-BE49-F238E27FC236}">
                    <a16:creationId xmlns:a16="http://schemas.microsoft.com/office/drawing/2014/main" id="{00000000-0008-0000-1000-0000A0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3" name="Option Button 161" hidden="1">
                <a:extLst>
                  <a:ext uri="{63B3BB69-23CF-44E3-9099-C40C66FF867C}">
                    <a14:compatExt spid="_x0000_s39073"/>
                  </a:ext>
                  <a:ext uri="{FF2B5EF4-FFF2-40B4-BE49-F238E27FC236}">
                    <a16:creationId xmlns:a16="http://schemas.microsoft.com/office/drawing/2014/main" id="{00000000-0008-0000-1000-0000A1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4" name="Option Button 162" hidden="1">
                <a:extLst>
                  <a:ext uri="{63B3BB69-23CF-44E3-9099-C40C66FF867C}">
                    <a14:compatExt spid="_x0000_s39074"/>
                  </a:ext>
                  <a:ext uri="{FF2B5EF4-FFF2-40B4-BE49-F238E27FC236}">
                    <a16:creationId xmlns:a16="http://schemas.microsoft.com/office/drawing/2014/main" id="{00000000-0008-0000-1000-0000A2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43</xdr:row>
          <xdr:rowOff>66</xdr:rowOff>
        </xdr:from>
        <xdr:to>
          <xdr:col>16</xdr:col>
          <xdr:colOff>132300</xdr:colOff>
          <xdr:row>43</xdr:row>
          <xdr:rowOff>194071</xdr:rowOff>
        </xdr:to>
        <xdr:grpSp>
          <xdr:nvGrpSpPr>
            <xdr:cNvPr id="200" name="Gruppieren 199">
              <a:extLst>
                <a:ext uri="{FF2B5EF4-FFF2-40B4-BE49-F238E27FC236}">
                  <a16:creationId xmlns:a16="http://schemas.microsoft.com/office/drawing/2014/main" id="{00000000-0008-0000-1000-0000C8000000}"/>
                </a:ext>
              </a:extLst>
            </xdr:cNvPr>
            <xdr:cNvGrpSpPr/>
          </xdr:nvGrpSpPr>
          <xdr:grpSpPr>
            <a:xfrm>
              <a:off x="4427409" y="14310426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9075" name="Group Box 163" hidden="1">
                <a:extLst>
                  <a:ext uri="{63B3BB69-23CF-44E3-9099-C40C66FF867C}">
                    <a14:compatExt spid="_x0000_s39075"/>
                  </a:ext>
                  <a:ext uri="{FF2B5EF4-FFF2-40B4-BE49-F238E27FC236}">
                    <a16:creationId xmlns:a16="http://schemas.microsoft.com/office/drawing/2014/main" id="{00000000-0008-0000-1000-0000A3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76" name="Option Button 164" hidden="1">
                <a:extLst>
                  <a:ext uri="{63B3BB69-23CF-44E3-9099-C40C66FF867C}">
                    <a14:compatExt spid="_x0000_s39076"/>
                  </a:ext>
                  <a:ext uri="{FF2B5EF4-FFF2-40B4-BE49-F238E27FC236}">
                    <a16:creationId xmlns:a16="http://schemas.microsoft.com/office/drawing/2014/main" id="{00000000-0008-0000-1000-0000A4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7" name="Option Button 165" hidden="1">
                <a:extLst>
                  <a:ext uri="{63B3BB69-23CF-44E3-9099-C40C66FF867C}">
                    <a14:compatExt spid="_x0000_s39077"/>
                  </a:ext>
                  <a:ext uri="{FF2B5EF4-FFF2-40B4-BE49-F238E27FC236}">
                    <a16:creationId xmlns:a16="http://schemas.microsoft.com/office/drawing/2014/main" id="{00000000-0008-0000-1000-0000A5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8" name="Option Button 166" hidden="1">
                <a:extLst>
                  <a:ext uri="{63B3BB69-23CF-44E3-9099-C40C66FF867C}">
                    <a14:compatExt spid="_x0000_s39078"/>
                  </a:ext>
                  <a:ext uri="{FF2B5EF4-FFF2-40B4-BE49-F238E27FC236}">
                    <a16:creationId xmlns:a16="http://schemas.microsoft.com/office/drawing/2014/main" id="{00000000-0008-0000-1000-0000A6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9" name="Option Button 167" hidden="1">
                <a:extLst>
                  <a:ext uri="{63B3BB69-23CF-44E3-9099-C40C66FF867C}">
                    <a14:compatExt spid="_x0000_s39079"/>
                  </a:ext>
                  <a:ext uri="{FF2B5EF4-FFF2-40B4-BE49-F238E27FC236}">
                    <a16:creationId xmlns:a16="http://schemas.microsoft.com/office/drawing/2014/main" id="{00000000-0008-0000-1000-0000A7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80" name="Option Button 168" hidden="1">
                <a:extLst>
                  <a:ext uri="{63B3BB69-23CF-44E3-9099-C40C66FF867C}">
                    <a14:compatExt spid="_x0000_s39080"/>
                  </a:ext>
                  <a:ext uri="{FF2B5EF4-FFF2-40B4-BE49-F238E27FC236}">
                    <a16:creationId xmlns:a16="http://schemas.microsoft.com/office/drawing/2014/main" id="{00000000-0008-0000-1000-0000A8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28575</xdr:colOff>
      <xdr:row>44</xdr:row>
      <xdr:rowOff>352425</xdr:rowOff>
    </xdr:from>
    <xdr:to>
      <xdr:col>1</xdr:col>
      <xdr:colOff>9525</xdr:colOff>
      <xdr:row>46</xdr:row>
      <xdr:rowOff>398741</xdr:rowOff>
    </xdr:to>
    <xdr:pic>
      <xdr:nvPicPr>
        <xdr:cNvPr id="207" name="Picture 2">
          <a:extLst>
            <a:ext uri="{FF2B5EF4-FFF2-40B4-BE49-F238E27FC236}">
              <a16:creationId xmlns:a16="http://schemas.microsoft.com/office/drawing/2014/main" id="{00000000-0008-0000-1000-0000C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8575" y="15173325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44</xdr:row>
          <xdr:rowOff>9591</xdr:rowOff>
        </xdr:from>
        <xdr:to>
          <xdr:col>16</xdr:col>
          <xdr:colOff>132300</xdr:colOff>
          <xdr:row>44</xdr:row>
          <xdr:rowOff>203596</xdr:rowOff>
        </xdr:to>
        <xdr:grpSp>
          <xdr:nvGrpSpPr>
            <xdr:cNvPr id="208" name="Gruppieren 207">
              <a:extLst>
                <a:ext uri="{FF2B5EF4-FFF2-40B4-BE49-F238E27FC236}">
                  <a16:creationId xmlns:a16="http://schemas.microsoft.com/office/drawing/2014/main" id="{00000000-0008-0000-1000-0000D0000000}"/>
                </a:ext>
              </a:extLst>
            </xdr:cNvPr>
            <xdr:cNvGrpSpPr/>
          </xdr:nvGrpSpPr>
          <xdr:grpSpPr>
            <a:xfrm>
              <a:off x="4427409" y="14716191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9081" name="Group Box 169" hidden="1">
                <a:extLst>
                  <a:ext uri="{63B3BB69-23CF-44E3-9099-C40C66FF867C}">
                    <a14:compatExt spid="_x0000_s39081"/>
                  </a:ext>
                  <a:ext uri="{FF2B5EF4-FFF2-40B4-BE49-F238E27FC236}">
                    <a16:creationId xmlns:a16="http://schemas.microsoft.com/office/drawing/2014/main" id="{00000000-0008-0000-1000-0000A9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82" name="Option Button 170" hidden="1">
                <a:extLst>
                  <a:ext uri="{63B3BB69-23CF-44E3-9099-C40C66FF867C}">
                    <a14:compatExt spid="_x0000_s39082"/>
                  </a:ext>
                  <a:ext uri="{FF2B5EF4-FFF2-40B4-BE49-F238E27FC236}">
                    <a16:creationId xmlns:a16="http://schemas.microsoft.com/office/drawing/2014/main" id="{00000000-0008-0000-1000-0000AA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83" name="Option Button 171" hidden="1">
                <a:extLst>
                  <a:ext uri="{63B3BB69-23CF-44E3-9099-C40C66FF867C}">
                    <a14:compatExt spid="_x0000_s39083"/>
                  </a:ext>
                  <a:ext uri="{FF2B5EF4-FFF2-40B4-BE49-F238E27FC236}">
                    <a16:creationId xmlns:a16="http://schemas.microsoft.com/office/drawing/2014/main" id="{00000000-0008-0000-1000-0000AB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84" name="Option Button 172" hidden="1">
                <a:extLst>
                  <a:ext uri="{63B3BB69-23CF-44E3-9099-C40C66FF867C}">
                    <a14:compatExt spid="_x0000_s39084"/>
                  </a:ext>
                  <a:ext uri="{FF2B5EF4-FFF2-40B4-BE49-F238E27FC236}">
                    <a16:creationId xmlns:a16="http://schemas.microsoft.com/office/drawing/2014/main" id="{00000000-0008-0000-1000-0000AC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85" name="Option Button 173" hidden="1">
                <a:extLst>
                  <a:ext uri="{63B3BB69-23CF-44E3-9099-C40C66FF867C}">
                    <a14:compatExt spid="_x0000_s39085"/>
                  </a:ext>
                  <a:ext uri="{FF2B5EF4-FFF2-40B4-BE49-F238E27FC236}">
                    <a16:creationId xmlns:a16="http://schemas.microsoft.com/office/drawing/2014/main" id="{00000000-0008-0000-1000-0000AD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86" name="Option Button 174" hidden="1">
                <a:extLst>
                  <a:ext uri="{63B3BB69-23CF-44E3-9099-C40C66FF867C}">
                    <a14:compatExt spid="_x0000_s39086"/>
                  </a:ext>
                  <a:ext uri="{FF2B5EF4-FFF2-40B4-BE49-F238E27FC236}">
                    <a16:creationId xmlns:a16="http://schemas.microsoft.com/office/drawing/2014/main" id="{00000000-0008-0000-1000-0000AE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46</xdr:row>
          <xdr:rowOff>28578</xdr:rowOff>
        </xdr:from>
        <xdr:to>
          <xdr:col>16</xdr:col>
          <xdr:colOff>132301</xdr:colOff>
          <xdr:row>46</xdr:row>
          <xdr:rowOff>204311</xdr:rowOff>
        </xdr:to>
        <xdr:grpSp>
          <xdr:nvGrpSpPr>
            <xdr:cNvPr id="215" name="Gruppieren 214">
              <a:extLst>
                <a:ext uri="{FF2B5EF4-FFF2-40B4-BE49-F238E27FC236}">
                  <a16:creationId xmlns:a16="http://schemas.microsoft.com/office/drawing/2014/main" id="{00000000-0008-0000-1000-0000D7000000}"/>
                </a:ext>
              </a:extLst>
            </xdr:cNvPr>
            <xdr:cNvGrpSpPr/>
          </xdr:nvGrpSpPr>
          <xdr:grpSpPr>
            <a:xfrm>
              <a:off x="4427413" y="15329538"/>
              <a:ext cx="2341908" cy="175733"/>
              <a:chOff x="3581397" y="2105537"/>
              <a:chExt cx="2247892" cy="276224"/>
            </a:xfrm>
          </xdr:grpSpPr>
          <xdr:sp macro="" textlink="">
            <xdr:nvSpPr>
              <xdr:cNvPr id="39087" name="Group Box 175" hidden="1">
                <a:extLst>
                  <a:ext uri="{63B3BB69-23CF-44E3-9099-C40C66FF867C}">
                    <a14:compatExt spid="_x0000_s39087"/>
                  </a:ext>
                  <a:ext uri="{FF2B5EF4-FFF2-40B4-BE49-F238E27FC236}">
                    <a16:creationId xmlns:a16="http://schemas.microsoft.com/office/drawing/2014/main" id="{00000000-0008-0000-1000-0000AF980000}"/>
                  </a:ext>
                </a:extLst>
              </xdr:cNvPr>
              <xdr:cNvSpPr/>
            </xdr:nvSpPr>
            <xdr:spPr bwMode="auto">
              <a:xfrm>
                <a:off x="3581397" y="2105537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88" name="Option Button 176" hidden="1">
                <a:extLst>
                  <a:ext uri="{63B3BB69-23CF-44E3-9099-C40C66FF867C}">
                    <a14:compatExt spid="_x0000_s39088"/>
                  </a:ext>
                  <a:ext uri="{FF2B5EF4-FFF2-40B4-BE49-F238E27FC236}">
                    <a16:creationId xmlns:a16="http://schemas.microsoft.com/office/drawing/2014/main" id="{00000000-0008-0000-1000-0000B098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89" name="Option Button 177" hidden="1">
                <a:extLst>
                  <a:ext uri="{63B3BB69-23CF-44E3-9099-C40C66FF867C}">
                    <a14:compatExt spid="_x0000_s39089"/>
                  </a:ext>
                  <a:ext uri="{FF2B5EF4-FFF2-40B4-BE49-F238E27FC236}">
                    <a16:creationId xmlns:a16="http://schemas.microsoft.com/office/drawing/2014/main" id="{00000000-0008-0000-1000-0000B198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0" name="Option Button 178" hidden="1">
                <a:extLst>
                  <a:ext uri="{63B3BB69-23CF-44E3-9099-C40C66FF867C}">
                    <a14:compatExt spid="_x0000_s39090"/>
                  </a:ext>
                  <a:ext uri="{FF2B5EF4-FFF2-40B4-BE49-F238E27FC236}">
                    <a16:creationId xmlns:a16="http://schemas.microsoft.com/office/drawing/2014/main" id="{00000000-0008-0000-1000-0000B298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1" name="Option Button 179" hidden="1">
                <a:extLst>
                  <a:ext uri="{63B3BB69-23CF-44E3-9099-C40C66FF867C}">
                    <a14:compatExt spid="_x0000_s39091"/>
                  </a:ext>
                  <a:ext uri="{FF2B5EF4-FFF2-40B4-BE49-F238E27FC236}">
                    <a16:creationId xmlns:a16="http://schemas.microsoft.com/office/drawing/2014/main" id="{00000000-0008-0000-1000-0000B398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2" name="Option Button 180" hidden="1">
                <a:extLst>
                  <a:ext uri="{63B3BB69-23CF-44E3-9099-C40C66FF867C}">
                    <a14:compatExt spid="_x0000_s39092"/>
                  </a:ext>
                  <a:ext uri="{FF2B5EF4-FFF2-40B4-BE49-F238E27FC236}">
                    <a16:creationId xmlns:a16="http://schemas.microsoft.com/office/drawing/2014/main" id="{00000000-0008-0000-1000-0000B498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47</xdr:row>
          <xdr:rowOff>19053</xdr:rowOff>
        </xdr:from>
        <xdr:to>
          <xdr:col>16</xdr:col>
          <xdr:colOff>132301</xdr:colOff>
          <xdr:row>47</xdr:row>
          <xdr:rowOff>194786</xdr:rowOff>
        </xdr:to>
        <xdr:grpSp>
          <xdr:nvGrpSpPr>
            <xdr:cNvPr id="222" name="Gruppieren 221">
              <a:extLst>
                <a:ext uri="{FF2B5EF4-FFF2-40B4-BE49-F238E27FC236}">
                  <a16:creationId xmlns:a16="http://schemas.microsoft.com/office/drawing/2014/main" id="{00000000-0008-0000-1000-0000DE000000}"/>
                </a:ext>
              </a:extLst>
            </xdr:cNvPr>
            <xdr:cNvGrpSpPr/>
          </xdr:nvGrpSpPr>
          <xdr:grpSpPr>
            <a:xfrm>
              <a:off x="4427413" y="15716253"/>
              <a:ext cx="2341908" cy="175733"/>
              <a:chOff x="3581397" y="2105537"/>
              <a:chExt cx="2247892" cy="276224"/>
            </a:xfrm>
          </xdr:grpSpPr>
          <xdr:sp macro="" textlink="">
            <xdr:nvSpPr>
              <xdr:cNvPr id="39093" name="Group Box 181" hidden="1">
                <a:extLst>
                  <a:ext uri="{63B3BB69-23CF-44E3-9099-C40C66FF867C}">
                    <a14:compatExt spid="_x0000_s39093"/>
                  </a:ext>
                  <a:ext uri="{FF2B5EF4-FFF2-40B4-BE49-F238E27FC236}">
                    <a16:creationId xmlns:a16="http://schemas.microsoft.com/office/drawing/2014/main" id="{00000000-0008-0000-1000-0000B5980000}"/>
                  </a:ext>
                </a:extLst>
              </xdr:cNvPr>
              <xdr:cNvSpPr/>
            </xdr:nvSpPr>
            <xdr:spPr bwMode="auto">
              <a:xfrm>
                <a:off x="3581397" y="2105537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94" name="Option Button 182" hidden="1">
                <a:extLst>
                  <a:ext uri="{63B3BB69-23CF-44E3-9099-C40C66FF867C}">
                    <a14:compatExt spid="_x0000_s39094"/>
                  </a:ext>
                  <a:ext uri="{FF2B5EF4-FFF2-40B4-BE49-F238E27FC236}">
                    <a16:creationId xmlns:a16="http://schemas.microsoft.com/office/drawing/2014/main" id="{00000000-0008-0000-1000-0000B698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5" name="Option Button 183" hidden="1">
                <a:extLst>
                  <a:ext uri="{63B3BB69-23CF-44E3-9099-C40C66FF867C}">
                    <a14:compatExt spid="_x0000_s39095"/>
                  </a:ext>
                  <a:ext uri="{FF2B5EF4-FFF2-40B4-BE49-F238E27FC236}">
                    <a16:creationId xmlns:a16="http://schemas.microsoft.com/office/drawing/2014/main" id="{00000000-0008-0000-1000-0000B798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6" name="Option Button 184" hidden="1">
                <a:extLst>
                  <a:ext uri="{63B3BB69-23CF-44E3-9099-C40C66FF867C}">
                    <a14:compatExt spid="_x0000_s39096"/>
                  </a:ext>
                  <a:ext uri="{FF2B5EF4-FFF2-40B4-BE49-F238E27FC236}">
                    <a16:creationId xmlns:a16="http://schemas.microsoft.com/office/drawing/2014/main" id="{00000000-0008-0000-1000-0000B898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7" name="Option Button 185" hidden="1">
                <a:extLst>
                  <a:ext uri="{63B3BB69-23CF-44E3-9099-C40C66FF867C}">
                    <a14:compatExt spid="_x0000_s39097"/>
                  </a:ext>
                  <a:ext uri="{FF2B5EF4-FFF2-40B4-BE49-F238E27FC236}">
                    <a16:creationId xmlns:a16="http://schemas.microsoft.com/office/drawing/2014/main" id="{00000000-0008-0000-1000-0000B998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8" name="Option Button 186" hidden="1">
                <a:extLst>
                  <a:ext uri="{63B3BB69-23CF-44E3-9099-C40C66FF867C}">
                    <a14:compatExt spid="_x0000_s39098"/>
                  </a:ext>
                  <a:ext uri="{FF2B5EF4-FFF2-40B4-BE49-F238E27FC236}">
                    <a16:creationId xmlns:a16="http://schemas.microsoft.com/office/drawing/2014/main" id="{00000000-0008-0000-1000-0000BA98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48</xdr:row>
          <xdr:rowOff>28578</xdr:rowOff>
        </xdr:from>
        <xdr:to>
          <xdr:col>16</xdr:col>
          <xdr:colOff>132301</xdr:colOff>
          <xdr:row>48</xdr:row>
          <xdr:rowOff>204311</xdr:rowOff>
        </xdr:to>
        <xdr:grpSp>
          <xdr:nvGrpSpPr>
            <xdr:cNvPr id="229" name="Gruppieren 228">
              <a:extLst>
                <a:ext uri="{FF2B5EF4-FFF2-40B4-BE49-F238E27FC236}">
                  <a16:creationId xmlns:a16="http://schemas.microsoft.com/office/drawing/2014/main" id="{00000000-0008-0000-1000-0000E5000000}"/>
                </a:ext>
              </a:extLst>
            </xdr:cNvPr>
            <xdr:cNvGrpSpPr/>
          </xdr:nvGrpSpPr>
          <xdr:grpSpPr>
            <a:xfrm>
              <a:off x="4427413" y="16122018"/>
              <a:ext cx="2341908" cy="175733"/>
              <a:chOff x="3581397" y="2105537"/>
              <a:chExt cx="2247892" cy="276224"/>
            </a:xfrm>
          </xdr:grpSpPr>
          <xdr:sp macro="" textlink="">
            <xdr:nvSpPr>
              <xdr:cNvPr id="39099" name="Group Box 187" hidden="1">
                <a:extLst>
                  <a:ext uri="{63B3BB69-23CF-44E3-9099-C40C66FF867C}">
                    <a14:compatExt spid="_x0000_s39099"/>
                  </a:ext>
                  <a:ext uri="{FF2B5EF4-FFF2-40B4-BE49-F238E27FC236}">
                    <a16:creationId xmlns:a16="http://schemas.microsoft.com/office/drawing/2014/main" id="{00000000-0008-0000-1000-0000BB980000}"/>
                  </a:ext>
                </a:extLst>
              </xdr:cNvPr>
              <xdr:cNvSpPr/>
            </xdr:nvSpPr>
            <xdr:spPr bwMode="auto">
              <a:xfrm>
                <a:off x="3581397" y="2105537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00" name="Option Button 188" hidden="1">
                <a:extLst>
                  <a:ext uri="{63B3BB69-23CF-44E3-9099-C40C66FF867C}">
                    <a14:compatExt spid="_x0000_s39100"/>
                  </a:ext>
                  <a:ext uri="{FF2B5EF4-FFF2-40B4-BE49-F238E27FC236}">
                    <a16:creationId xmlns:a16="http://schemas.microsoft.com/office/drawing/2014/main" id="{00000000-0008-0000-1000-0000BC98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1" name="Option Button 189" hidden="1">
                <a:extLst>
                  <a:ext uri="{63B3BB69-23CF-44E3-9099-C40C66FF867C}">
                    <a14:compatExt spid="_x0000_s39101"/>
                  </a:ext>
                  <a:ext uri="{FF2B5EF4-FFF2-40B4-BE49-F238E27FC236}">
                    <a16:creationId xmlns:a16="http://schemas.microsoft.com/office/drawing/2014/main" id="{00000000-0008-0000-1000-0000BD98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2" name="Option Button 190" hidden="1">
                <a:extLst>
                  <a:ext uri="{63B3BB69-23CF-44E3-9099-C40C66FF867C}">
                    <a14:compatExt spid="_x0000_s39102"/>
                  </a:ext>
                  <a:ext uri="{FF2B5EF4-FFF2-40B4-BE49-F238E27FC236}">
                    <a16:creationId xmlns:a16="http://schemas.microsoft.com/office/drawing/2014/main" id="{00000000-0008-0000-1000-0000BE98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3" name="Option Button 191" hidden="1">
                <a:extLst>
                  <a:ext uri="{63B3BB69-23CF-44E3-9099-C40C66FF867C}">
                    <a14:compatExt spid="_x0000_s39103"/>
                  </a:ext>
                  <a:ext uri="{FF2B5EF4-FFF2-40B4-BE49-F238E27FC236}">
                    <a16:creationId xmlns:a16="http://schemas.microsoft.com/office/drawing/2014/main" id="{00000000-0008-0000-1000-0000BF98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4" name="Option Button 192" hidden="1">
                <a:extLst>
                  <a:ext uri="{63B3BB69-23CF-44E3-9099-C40C66FF867C}">
                    <a14:compatExt spid="_x0000_s39104"/>
                  </a:ext>
                  <a:ext uri="{FF2B5EF4-FFF2-40B4-BE49-F238E27FC236}">
                    <a16:creationId xmlns:a16="http://schemas.microsoft.com/office/drawing/2014/main" id="{00000000-0008-0000-1000-0000C098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48</xdr:row>
      <xdr:rowOff>628651</xdr:rowOff>
    </xdr:from>
    <xdr:to>
      <xdr:col>1</xdr:col>
      <xdr:colOff>33068</xdr:colOff>
      <xdr:row>50</xdr:row>
      <xdr:rowOff>276226</xdr:rowOff>
    </xdr:to>
    <xdr:pic>
      <xdr:nvPicPr>
        <xdr:cNvPr id="236" name="Picture 2">
          <a:extLst>
            <a:ext uri="{FF2B5EF4-FFF2-40B4-BE49-F238E27FC236}">
              <a16:creationId xmlns:a16="http://schemas.microsoft.com/office/drawing/2014/main" id="{00000000-0008-0000-1000-0000E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0" y="16849726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50</xdr:row>
          <xdr:rowOff>9591</xdr:rowOff>
        </xdr:from>
        <xdr:to>
          <xdr:col>16</xdr:col>
          <xdr:colOff>132300</xdr:colOff>
          <xdr:row>50</xdr:row>
          <xdr:rowOff>203596</xdr:rowOff>
        </xdr:to>
        <xdr:grpSp>
          <xdr:nvGrpSpPr>
            <xdr:cNvPr id="237" name="Gruppieren 236">
              <a:extLst>
                <a:ext uri="{FF2B5EF4-FFF2-40B4-BE49-F238E27FC236}">
                  <a16:creationId xmlns:a16="http://schemas.microsoft.com/office/drawing/2014/main" id="{00000000-0008-0000-1000-0000ED000000}"/>
                </a:ext>
              </a:extLst>
            </xdr:cNvPr>
            <xdr:cNvGrpSpPr/>
          </xdr:nvGrpSpPr>
          <xdr:grpSpPr>
            <a:xfrm>
              <a:off x="4427409" y="16964091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9105" name="Group Box 193" hidden="1">
                <a:extLst>
                  <a:ext uri="{63B3BB69-23CF-44E3-9099-C40C66FF867C}">
                    <a14:compatExt spid="_x0000_s39105"/>
                  </a:ext>
                  <a:ext uri="{FF2B5EF4-FFF2-40B4-BE49-F238E27FC236}">
                    <a16:creationId xmlns:a16="http://schemas.microsoft.com/office/drawing/2014/main" id="{00000000-0008-0000-1000-0000C1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06" name="Option Button 194" hidden="1">
                <a:extLst>
                  <a:ext uri="{63B3BB69-23CF-44E3-9099-C40C66FF867C}">
                    <a14:compatExt spid="_x0000_s39106"/>
                  </a:ext>
                  <a:ext uri="{FF2B5EF4-FFF2-40B4-BE49-F238E27FC236}">
                    <a16:creationId xmlns:a16="http://schemas.microsoft.com/office/drawing/2014/main" id="{00000000-0008-0000-1000-0000C2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7" name="Option Button 195" hidden="1">
                <a:extLst>
                  <a:ext uri="{63B3BB69-23CF-44E3-9099-C40C66FF867C}">
                    <a14:compatExt spid="_x0000_s39107"/>
                  </a:ext>
                  <a:ext uri="{FF2B5EF4-FFF2-40B4-BE49-F238E27FC236}">
                    <a16:creationId xmlns:a16="http://schemas.microsoft.com/office/drawing/2014/main" id="{00000000-0008-0000-1000-0000C3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8" name="Option Button 196" hidden="1">
                <a:extLst>
                  <a:ext uri="{63B3BB69-23CF-44E3-9099-C40C66FF867C}">
                    <a14:compatExt spid="_x0000_s39108"/>
                  </a:ext>
                  <a:ext uri="{FF2B5EF4-FFF2-40B4-BE49-F238E27FC236}">
                    <a16:creationId xmlns:a16="http://schemas.microsoft.com/office/drawing/2014/main" id="{00000000-0008-0000-1000-0000C4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9" name="Option Button 197" hidden="1">
                <a:extLst>
                  <a:ext uri="{63B3BB69-23CF-44E3-9099-C40C66FF867C}">
                    <a14:compatExt spid="_x0000_s39109"/>
                  </a:ext>
                  <a:ext uri="{FF2B5EF4-FFF2-40B4-BE49-F238E27FC236}">
                    <a16:creationId xmlns:a16="http://schemas.microsoft.com/office/drawing/2014/main" id="{00000000-0008-0000-1000-0000C5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10" name="Option Button 198" hidden="1">
                <a:extLst>
                  <a:ext uri="{63B3BB69-23CF-44E3-9099-C40C66FF867C}">
                    <a14:compatExt spid="_x0000_s39110"/>
                  </a:ext>
                  <a:ext uri="{FF2B5EF4-FFF2-40B4-BE49-F238E27FC236}">
                    <a16:creationId xmlns:a16="http://schemas.microsoft.com/office/drawing/2014/main" id="{00000000-0008-0000-1000-0000C6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51</xdr:row>
          <xdr:rowOff>9591</xdr:rowOff>
        </xdr:from>
        <xdr:to>
          <xdr:col>16</xdr:col>
          <xdr:colOff>132300</xdr:colOff>
          <xdr:row>51</xdr:row>
          <xdr:rowOff>203596</xdr:rowOff>
        </xdr:to>
        <xdr:grpSp>
          <xdr:nvGrpSpPr>
            <xdr:cNvPr id="244" name="Gruppieren 243">
              <a:extLst>
                <a:ext uri="{FF2B5EF4-FFF2-40B4-BE49-F238E27FC236}">
                  <a16:creationId xmlns:a16="http://schemas.microsoft.com/office/drawing/2014/main" id="{00000000-0008-0000-1000-0000F4000000}"/>
                </a:ext>
              </a:extLst>
            </xdr:cNvPr>
            <xdr:cNvGrpSpPr/>
          </xdr:nvGrpSpPr>
          <xdr:grpSpPr>
            <a:xfrm>
              <a:off x="4427409" y="17360331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9111" name="Group Box 199" hidden="1">
                <a:extLst>
                  <a:ext uri="{63B3BB69-23CF-44E3-9099-C40C66FF867C}">
                    <a14:compatExt spid="_x0000_s39111"/>
                  </a:ext>
                  <a:ext uri="{FF2B5EF4-FFF2-40B4-BE49-F238E27FC236}">
                    <a16:creationId xmlns:a16="http://schemas.microsoft.com/office/drawing/2014/main" id="{00000000-0008-0000-1000-0000C7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12" name="Option Button 200" hidden="1">
                <a:extLst>
                  <a:ext uri="{63B3BB69-23CF-44E3-9099-C40C66FF867C}">
                    <a14:compatExt spid="_x0000_s39112"/>
                  </a:ext>
                  <a:ext uri="{FF2B5EF4-FFF2-40B4-BE49-F238E27FC236}">
                    <a16:creationId xmlns:a16="http://schemas.microsoft.com/office/drawing/2014/main" id="{00000000-0008-0000-1000-0000C8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13" name="Option Button 201" hidden="1">
                <a:extLst>
                  <a:ext uri="{63B3BB69-23CF-44E3-9099-C40C66FF867C}">
                    <a14:compatExt spid="_x0000_s39113"/>
                  </a:ext>
                  <a:ext uri="{FF2B5EF4-FFF2-40B4-BE49-F238E27FC236}">
                    <a16:creationId xmlns:a16="http://schemas.microsoft.com/office/drawing/2014/main" id="{00000000-0008-0000-1000-0000C9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14" name="Option Button 202" hidden="1">
                <a:extLst>
                  <a:ext uri="{63B3BB69-23CF-44E3-9099-C40C66FF867C}">
                    <a14:compatExt spid="_x0000_s39114"/>
                  </a:ext>
                  <a:ext uri="{FF2B5EF4-FFF2-40B4-BE49-F238E27FC236}">
                    <a16:creationId xmlns:a16="http://schemas.microsoft.com/office/drawing/2014/main" id="{00000000-0008-0000-1000-0000CA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15" name="Option Button 203" hidden="1">
                <a:extLst>
                  <a:ext uri="{63B3BB69-23CF-44E3-9099-C40C66FF867C}">
                    <a14:compatExt spid="_x0000_s39115"/>
                  </a:ext>
                  <a:ext uri="{FF2B5EF4-FFF2-40B4-BE49-F238E27FC236}">
                    <a16:creationId xmlns:a16="http://schemas.microsoft.com/office/drawing/2014/main" id="{00000000-0008-0000-1000-0000CB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16" name="Option Button 204" hidden="1">
                <a:extLst>
                  <a:ext uri="{63B3BB69-23CF-44E3-9099-C40C66FF867C}">
                    <a14:compatExt spid="_x0000_s39116"/>
                  </a:ext>
                  <a:ext uri="{FF2B5EF4-FFF2-40B4-BE49-F238E27FC236}">
                    <a16:creationId xmlns:a16="http://schemas.microsoft.com/office/drawing/2014/main" id="{00000000-0008-0000-1000-0000CC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52</xdr:row>
          <xdr:rowOff>9591</xdr:rowOff>
        </xdr:from>
        <xdr:to>
          <xdr:col>16</xdr:col>
          <xdr:colOff>132300</xdr:colOff>
          <xdr:row>52</xdr:row>
          <xdr:rowOff>203596</xdr:rowOff>
        </xdr:to>
        <xdr:grpSp>
          <xdr:nvGrpSpPr>
            <xdr:cNvPr id="251" name="Gruppieren 250">
              <a:extLst>
                <a:ext uri="{FF2B5EF4-FFF2-40B4-BE49-F238E27FC236}">
                  <a16:creationId xmlns:a16="http://schemas.microsoft.com/office/drawing/2014/main" id="{00000000-0008-0000-1000-0000FB000000}"/>
                </a:ext>
              </a:extLst>
            </xdr:cNvPr>
            <xdr:cNvGrpSpPr/>
          </xdr:nvGrpSpPr>
          <xdr:grpSpPr>
            <a:xfrm>
              <a:off x="4427409" y="17756571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9117" name="Group Box 205" hidden="1">
                <a:extLst>
                  <a:ext uri="{63B3BB69-23CF-44E3-9099-C40C66FF867C}">
                    <a14:compatExt spid="_x0000_s39117"/>
                  </a:ext>
                  <a:ext uri="{FF2B5EF4-FFF2-40B4-BE49-F238E27FC236}">
                    <a16:creationId xmlns:a16="http://schemas.microsoft.com/office/drawing/2014/main" id="{00000000-0008-0000-1000-0000CD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18" name="Option Button 206" hidden="1">
                <a:extLst>
                  <a:ext uri="{63B3BB69-23CF-44E3-9099-C40C66FF867C}">
                    <a14:compatExt spid="_x0000_s39118"/>
                  </a:ext>
                  <a:ext uri="{FF2B5EF4-FFF2-40B4-BE49-F238E27FC236}">
                    <a16:creationId xmlns:a16="http://schemas.microsoft.com/office/drawing/2014/main" id="{00000000-0008-0000-1000-0000CE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19" name="Option Button 207" hidden="1">
                <a:extLst>
                  <a:ext uri="{63B3BB69-23CF-44E3-9099-C40C66FF867C}">
                    <a14:compatExt spid="_x0000_s39119"/>
                  </a:ext>
                  <a:ext uri="{FF2B5EF4-FFF2-40B4-BE49-F238E27FC236}">
                    <a16:creationId xmlns:a16="http://schemas.microsoft.com/office/drawing/2014/main" id="{00000000-0008-0000-1000-0000CF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0" name="Option Button 208" hidden="1">
                <a:extLst>
                  <a:ext uri="{63B3BB69-23CF-44E3-9099-C40C66FF867C}">
                    <a14:compatExt spid="_x0000_s39120"/>
                  </a:ext>
                  <a:ext uri="{FF2B5EF4-FFF2-40B4-BE49-F238E27FC236}">
                    <a16:creationId xmlns:a16="http://schemas.microsoft.com/office/drawing/2014/main" id="{00000000-0008-0000-1000-0000D0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1" name="Option Button 209" hidden="1">
                <a:extLst>
                  <a:ext uri="{63B3BB69-23CF-44E3-9099-C40C66FF867C}">
                    <a14:compatExt spid="_x0000_s39121"/>
                  </a:ext>
                  <a:ext uri="{FF2B5EF4-FFF2-40B4-BE49-F238E27FC236}">
                    <a16:creationId xmlns:a16="http://schemas.microsoft.com/office/drawing/2014/main" id="{00000000-0008-0000-1000-0000D1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2" name="Option Button 210" hidden="1">
                <a:extLst>
                  <a:ext uri="{63B3BB69-23CF-44E3-9099-C40C66FF867C}">
                    <a14:compatExt spid="_x0000_s39122"/>
                  </a:ext>
                  <a:ext uri="{FF2B5EF4-FFF2-40B4-BE49-F238E27FC236}">
                    <a16:creationId xmlns:a16="http://schemas.microsoft.com/office/drawing/2014/main" id="{00000000-0008-0000-1000-0000D2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53</xdr:row>
          <xdr:rowOff>66</xdr:rowOff>
        </xdr:from>
        <xdr:to>
          <xdr:col>16</xdr:col>
          <xdr:colOff>132300</xdr:colOff>
          <xdr:row>53</xdr:row>
          <xdr:rowOff>194071</xdr:rowOff>
        </xdr:to>
        <xdr:grpSp>
          <xdr:nvGrpSpPr>
            <xdr:cNvPr id="258" name="Gruppieren 257">
              <a:extLst>
                <a:ext uri="{FF2B5EF4-FFF2-40B4-BE49-F238E27FC236}">
                  <a16:creationId xmlns:a16="http://schemas.microsoft.com/office/drawing/2014/main" id="{00000000-0008-0000-1000-000002010000}"/>
                </a:ext>
              </a:extLst>
            </xdr:cNvPr>
            <xdr:cNvGrpSpPr/>
          </xdr:nvGrpSpPr>
          <xdr:grpSpPr>
            <a:xfrm>
              <a:off x="4427409" y="18143286"/>
              <a:ext cx="2341911" cy="194005"/>
              <a:chOff x="3581389" y="2104611"/>
              <a:chExt cx="2247895" cy="276226"/>
            </a:xfrm>
          </xdr:grpSpPr>
          <xdr:sp macro="" textlink="">
            <xdr:nvSpPr>
              <xdr:cNvPr id="39123" name="Group Box 211" hidden="1">
                <a:extLst>
                  <a:ext uri="{63B3BB69-23CF-44E3-9099-C40C66FF867C}">
                    <a14:compatExt spid="_x0000_s39123"/>
                  </a:ext>
                  <a:ext uri="{FF2B5EF4-FFF2-40B4-BE49-F238E27FC236}">
                    <a16:creationId xmlns:a16="http://schemas.microsoft.com/office/drawing/2014/main" id="{00000000-0008-0000-1000-0000D3980000}"/>
                  </a:ext>
                </a:extLst>
              </xdr:cNvPr>
              <xdr:cNvSpPr/>
            </xdr:nvSpPr>
            <xdr:spPr bwMode="auto">
              <a:xfrm>
                <a:off x="3581389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24" name="Option Button 212" hidden="1">
                <a:extLst>
                  <a:ext uri="{63B3BB69-23CF-44E3-9099-C40C66FF867C}">
                    <a14:compatExt spid="_x0000_s39124"/>
                  </a:ext>
                  <a:ext uri="{FF2B5EF4-FFF2-40B4-BE49-F238E27FC236}">
                    <a16:creationId xmlns:a16="http://schemas.microsoft.com/office/drawing/2014/main" id="{00000000-0008-0000-1000-0000D4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5" name="Option Button 213" hidden="1">
                <a:extLst>
                  <a:ext uri="{63B3BB69-23CF-44E3-9099-C40C66FF867C}">
                    <a14:compatExt spid="_x0000_s39125"/>
                  </a:ext>
                  <a:ext uri="{FF2B5EF4-FFF2-40B4-BE49-F238E27FC236}">
                    <a16:creationId xmlns:a16="http://schemas.microsoft.com/office/drawing/2014/main" id="{00000000-0008-0000-1000-0000D5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6" name="Option Button 214" hidden="1">
                <a:extLst>
                  <a:ext uri="{63B3BB69-23CF-44E3-9099-C40C66FF867C}">
                    <a14:compatExt spid="_x0000_s39126"/>
                  </a:ext>
                  <a:ext uri="{FF2B5EF4-FFF2-40B4-BE49-F238E27FC236}">
                    <a16:creationId xmlns:a16="http://schemas.microsoft.com/office/drawing/2014/main" id="{00000000-0008-0000-1000-0000D6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7" name="Option Button 215" hidden="1">
                <a:extLst>
                  <a:ext uri="{63B3BB69-23CF-44E3-9099-C40C66FF867C}">
                    <a14:compatExt spid="_x0000_s39127"/>
                  </a:ext>
                  <a:ext uri="{FF2B5EF4-FFF2-40B4-BE49-F238E27FC236}">
                    <a16:creationId xmlns:a16="http://schemas.microsoft.com/office/drawing/2014/main" id="{00000000-0008-0000-1000-0000D7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8" name="Option Button 216" hidden="1">
                <a:extLst>
                  <a:ext uri="{63B3BB69-23CF-44E3-9099-C40C66FF867C}">
                    <a14:compatExt spid="_x0000_s39128"/>
                  </a:ext>
                  <a:ext uri="{FF2B5EF4-FFF2-40B4-BE49-F238E27FC236}">
                    <a16:creationId xmlns:a16="http://schemas.microsoft.com/office/drawing/2014/main" id="{00000000-0008-0000-1000-0000D8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1</xdr:colOff>
      <xdr:row>54</xdr:row>
      <xdr:rowOff>1</xdr:rowOff>
    </xdr:from>
    <xdr:to>
      <xdr:col>0</xdr:col>
      <xdr:colOff>455237</xdr:colOff>
      <xdr:row>55</xdr:row>
      <xdr:rowOff>161926</xdr:rowOff>
    </xdr:to>
    <xdr:pic>
      <xdr:nvPicPr>
        <xdr:cNvPr id="265" name="Picture 2">
          <a:extLst>
            <a:ext uri="{FF2B5EF4-FFF2-40B4-BE49-F238E27FC236}">
              <a16:creationId xmlns:a16="http://schemas.microsoft.com/office/drawing/2014/main" id="{00000000-0008-0000-1000-000009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" y="18688051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76387</xdr:colOff>
          <xdr:row>55</xdr:row>
          <xdr:rowOff>28578</xdr:rowOff>
        </xdr:from>
        <xdr:to>
          <xdr:col>16</xdr:col>
          <xdr:colOff>132297</xdr:colOff>
          <xdr:row>55</xdr:row>
          <xdr:rowOff>204311</xdr:rowOff>
        </xdr:to>
        <xdr:grpSp>
          <xdr:nvGrpSpPr>
            <xdr:cNvPr id="266" name="Gruppieren 265">
              <a:extLst>
                <a:ext uri="{FF2B5EF4-FFF2-40B4-BE49-F238E27FC236}">
                  <a16:creationId xmlns:a16="http://schemas.microsoft.com/office/drawing/2014/main" id="{00000000-0008-0000-1000-00000A010000}"/>
                </a:ext>
              </a:extLst>
            </xdr:cNvPr>
            <xdr:cNvGrpSpPr/>
          </xdr:nvGrpSpPr>
          <xdr:grpSpPr>
            <a:xfrm>
              <a:off x="4427407" y="18766158"/>
              <a:ext cx="2341910" cy="175733"/>
              <a:chOff x="3581397" y="2105537"/>
              <a:chExt cx="2247894" cy="276224"/>
            </a:xfrm>
          </xdr:grpSpPr>
          <xdr:sp macro="" textlink="">
            <xdr:nvSpPr>
              <xdr:cNvPr id="39129" name="Group Box 217" hidden="1">
                <a:extLst>
                  <a:ext uri="{63B3BB69-23CF-44E3-9099-C40C66FF867C}">
                    <a14:compatExt spid="_x0000_s39129"/>
                  </a:ext>
                  <a:ext uri="{FF2B5EF4-FFF2-40B4-BE49-F238E27FC236}">
                    <a16:creationId xmlns:a16="http://schemas.microsoft.com/office/drawing/2014/main" id="{00000000-0008-0000-1000-0000D9980000}"/>
                  </a:ext>
                </a:extLst>
              </xdr:cNvPr>
              <xdr:cNvSpPr/>
            </xdr:nvSpPr>
            <xdr:spPr bwMode="auto">
              <a:xfrm>
                <a:off x="3581397" y="2105537"/>
                <a:ext cx="2247894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30" name="Option Button 218" hidden="1">
                <a:extLst>
                  <a:ext uri="{63B3BB69-23CF-44E3-9099-C40C66FF867C}">
                    <a14:compatExt spid="_x0000_s39130"/>
                  </a:ext>
                  <a:ext uri="{FF2B5EF4-FFF2-40B4-BE49-F238E27FC236}">
                    <a16:creationId xmlns:a16="http://schemas.microsoft.com/office/drawing/2014/main" id="{00000000-0008-0000-1000-0000DA98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1" name="Option Button 219" hidden="1">
                <a:extLst>
                  <a:ext uri="{63B3BB69-23CF-44E3-9099-C40C66FF867C}">
                    <a14:compatExt spid="_x0000_s39131"/>
                  </a:ext>
                  <a:ext uri="{FF2B5EF4-FFF2-40B4-BE49-F238E27FC236}">
                    <a16:creationId xmlns:a16="http://schemas.microsoft.com/office/drawing/2014/main" id="{00000000-0008-0000-1000-0000DB98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2" name="Option Button 220" hidden="1">
                <a:extLst>
                  <a:ext uri="{63B3BB69-23CF-44E3-9099-C40C66FF867C}">
                    <a14:compatExt spid="_x0000_s39132"/>
                  </a:ext>
                  <a:ext uri="{FF2B5EF4-FFF2-40B4-BE49-F238E27FC236}">
                    <a16:creationId xmlns:a16="http://schemas.microsoft.com/office/drawing/2014/main" id="{00000000-0008-0000-1000-0000DC98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3" name="Option Button 221" hidden="1">
                <a:extLst>
                  <a:ext uri="{63B3BB69-23CF-44E3-9099-C40C66FF867C}">
                    <a14:compatExt spid="_x0000_s39133"/>
                  </a:ext>
                  <a:ext uri="{FF2B5EF4-FFF2-40B4-BE49-F238E27FC236}">
                    <a16:creationId xmlns:a16="http://schemas.microsoft.com/office/drawing/2014/main" id="{00000000-0008-0000-1000-0000DD98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4" name="Option Button 222" hidden="1">
                <a:extLst>
                  <a:ext uri="{63B3BB69-23CF-44E3-9099-C40C66FF867C}">
                    <a14:compatExt spid="_x0000_s39134"/>
                  </a:ext>
                  <a:ext uri="{FF2B5EF4-FFF2-40B4-BE49-F238E27FC236}">
                    <a16:creationId xmlns:a16="http://schemas.microsoft.com/office/drawing/2014/main" id="{00000000-0008-0000-1000-0000DE98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56</xdr:row>
          <xdr:rowOff>28578</xdr:rowOff>
        </xdr:from>
        <xdr:to>
          <xdr:col>16</xdr:col>
          <xdr:colOff>132301</xdr:colOff>
          <xdr:row>56</xdr:row>
          <xdr:rowOff>204311</xdr:rowOff>
        </xdr:to>
        <xdr:grpSp>
          <xdr:nvGrpSpPr>
            <xdr:cNvPr id="273" name="Gruppieren 272">
              <a:extLst>
                <a:ext uri="{FF2B5EF4-FFF2-40B4-BE49-F238E27FC236}">
                  <a16:creationId xmlns:a16="http://schemas.microsoft.com/office/drawing/2014/main" id="{00000000-0008-0000-1000-000011010000}"/>
                </a:ext>
              </a:extLst>
            </xdr:cNvPr>
            <xdr:cNvGrpSpPr/>
          </xdr:nvGrpSpPr>
          <xdr:grpSpPr>
            <a:xfrm>
              <a:off x="4427413" y="19162398"/>
              <a:ext cx="2341908" cy="175733"/>
              <a:chOff x="3581397" y="2105537"/>
              <a:chExt cx="2247892" cy="276224"/>
            </a:xfrm>
          </xdr:grpSpPr>
          <xdr:sp macro="" textlink="">
            <xdr:nvSpPr>
              <xdr:cNvPr id="39135" name="Group Box 223" hidden="1">
                <a:extLst>
                  <a:ext uri="{63B3BB69-23CF-44E3-9099-C40C66FF867C}">
                    <a14:compatExt spid="_x0000_s39135"/>
                  </a:ext>
                  <a:ext uri="{FF2B5EF4-FFF2-40B4-BE49-F238E27FC236}">
                    <a16:creationId xmlns:a16="http://schemas.microsoft.com/office/drawing/2014/main" id="{00000000-0008-0000-1000-0000DF980000}"/>
                  </a:ext>
                </a:extLst>
              </xdr:cNvPr>
              <xdr:cNvSpPr/>
            </xdr:nvSpPr>
            <xdr:spPr bwMode="auto">
              <a:xfrm>
                <a:off x="3581397" y="2105537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36" name="Option Button 224" hidden="1">
                <a:extLst>
                  <a:ext uri="{63B3BB69-23CF-44E3-9099-C40C66FF867C}">
                    <a14:compatExt spid="_x0000_s39136"/>
                  </a:ext>
                  <a:ext uri="{FF2B5EF4-FFF2-40B4-BE49-F238E27FC236}">
                    <a16:creationId xmlns:a16="http://schemas.microsoft.com/office/drawing/2014/main" id="{00000000-0008-0000-1000-0000E098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7" name="Option Button 225" hidden="1">
                <a:extLst>
                  <a:ext uri="{63B3BB69-23CF-44E3-9099-C40C66FF867C}">
                    <a14:compatExt spid="_x0000_s39137"/>
                  </a:ext>
                  <a:ext uri="{FF2B5EF4-FFF2-40B4-BE49-F238E27FC236}">
                    <a16:creationId xmlns:a16="http://schemas.microsoft.com/office/drawing/2014/main" id="{00000000-0008-0000-1000-0000E198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8" name="Option Button 226" hidden="1">
                <a:extLst>
                  <a:ext uri="{63B3BB69-23CF-44E3-9099-C40C66FF867C}">
                    <a14:compatExt spid="_x0000_s39138"/>
                  </a:ext>
                  <a:ext uri="{FF2B5EF4-FFF2-40B4-BE49-F238E27FC236}">
                    <a16:creationId xmlns:a16="http://schemas.microsoft.com/office/drawing/2014/main" id="{00000000-0008-0000-1000-0000E298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9" name="Option Button 227" hidden="1">
                <a:extLst>
                  <a:ext uri="{63B3BB69-23CF-44E3-9099-C40C66FF867C}">
                    <a14:compatExt spid="_x0000_s39139"/>
                  </a:ext>
                  <a:ext uri="{FF2B5EF4-FFF2-40B4-BE49-F238E27FC236}">
                    <a16:creationId xmlns:a16="http://schemas.microsoft.com/office/drawing/2014/main" id="{00000000-0008-0000-1000-0000E398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40" name="Option Button 228" hidden="1">
                <a:extLst>
                  <a:ext uri="{63B3BB69-23CF-44E3-9099-C40C66FF867C}">
                    <a14:compatExt spid="_x0000_s39140"/>
                  </a:ext>
                  <a:ext uri="{FF2B5EF4-FFF2-40B4-BE49-F238E27FC236}">
                    <a16:creationId xmlns:a16="http://schemas.microsoft.com/office/drawing/2014/main" id="{00000000-0008-0000-1000-0000E498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262578</xdr:colOff>
      <xdr:row>11</xdr:row>
      <xdr:rowOff>104772</xdr:rowOff>
    </xdr:from>
    <xdr:to>
      <xdr:col>20</xdr:col>
      <xdr:colOff>963175</xdr:colOff>
      <xdr:row>12</xdr:row>
      <xdr:rowOff>327522</xdr:rowOff>
    </xdr:to>
    <xdr:sp macro="" textlink="">
      <xdr:nvSpPr>
        <xdr:cNvPr id="280" name="Rechteck 279">
          <a:extLst>
            <a:ext uri="{FF2B5EF4-FFF2-40B4-BE49-F238E27FC236}">
              <a16:creationId xmlns:a16="http://schemas.microsoft.com/office/drawing/2014/main" id="{00000000-0008-0000-1000-000018010000}"/>
            </a:ext>
          </a:extLst>
        </xdr:cNvPr>
        <xdr:cNvSpPr>
          <a:spLocks/>
        </xdr:cNvSpPr>
      </xdr:nvSpPr>
      <xdr:spPr>
        <a:xfrm>
          <a:off x="7396803" y="274319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11</xdr:row>
      <xdr:rowOff>104772</xdr:rowOff>
    </xdr:from>
    <xdr:to>
      <xdr:col>20</xdr:col>
      <xdr:colOff>1693286</xdr:colOff>
      <xdr:row>12</xdr:row>
      <xdr:rowOff>327522</xdr:rowOff>
    </xdr:to>
    <xdr:sp macro="" textlink="">
      <xdr:nvSpPr>
        <xdr:cNvPr id="281" name="Rechteck 280">
          <a:extLst>
            <a:ext uri="{FF2B5EF4-FFF2-40B4-BE49-F238E27FC236}">
              <a16:creationId xmlns:a16="http://schemas.microsoft.com/office/drawing/2014/main" id="{00000000-0008-0000-1000-000019010000}"/>
            </a:ext>
          </a:extLst>
        </xdr:cNvPr>
        <xdr:cNvSpPr>
          <a:spLocks/>
        </xdr:cNvSpPr>
      </xdr:nvSpPr>
      <xdr:spPr>
        <a:xfrm>
          <a:off x="8132711" y="274319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11</xdr:row>
      <xdr:rowOff>104772</xdr:rowOff>
    </xdr:from>
    <xdr:to>
      <xdr:col>20</xdr:col>
      <xdr:colOff>2417467</xdr:colOff>
      <xdr:row>12</xdr:row>
      <xdr:rowOff>327522</xdr:rowOff>
    </xdr:to>
    <xdr:sp macro="" textlink="">
      <xdr:nvSpPr>
        <xdr:cNvPr id="282" name="Rechteck 281">
          <a:extLst>
            <a:ext uri="{FF2B5EF4-FFF2-40B4-BE49-F238E27FC236}">
              <a16:creationId xmlns:a16="http://schemas.microsoft.com/office/drawing/2014/main" id="{00000000-0008-0000-1000-00001A010000}"/>
            </a:ext>
          </a:extLst>
        </xdr:cNvPr>
        <xdr:cNvSpPr>
          <a:spLocks/>
        </xdr:cNvSpPr>
      </xdr:nvSpPr>
      <xdr:spPr>
        <a:xfrm>
          <a:off x="8856892" y="274319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262578</xdr:colOff>
      <xdr:row>9</xdr:row>
      <xdr:rowOff>58804</xdr:rowOff>
    </xdr:from>
    <xdr:to>
      <xdr:col>20</xdr:col>
      <xdr:colOff>963175</xdr:colOff>
      <xdr:row>11</xdr:row>
      <xdr:rowOff>81529</xdr:rowOff>
    </xdr:to>
    <xdr:sp macro="" textlink="">
      <xdr:nvSpPr>
        <xdr:cNvPr id="283" name="Rechteck 282">
          <a:extLst>
            <a:ext uri="{FF2B5EF4-FFF2-40B4-BE49-F238E27FC236}">
              <a16:creationId xmlns:a16="http://schemas.microsoft.com/office/drawing/2014/main" id="{00000000-0008-0000-1000-00001B010000}"/>
            </a:ext>
          </a:extLst>
        </xdr:cNvPr>
        <xdr:cNvSpPr>
          <a:spLocks/>
        </xdr:cNvSpPr>
      </xdr:nvSpPr>
      <xdr:spPr>
        <a:xfrm>
          <a:off x="7396803" y="209715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9</xdr:row>
      <xdr:rowOff>58804</xdr:rowOff>
    </xdr:from>
    <xdr:to>
      <xdr:col>20</xdr:col>
      <xdr:colOff>1693286</xdr:colOff>
      <xdr:row>11</xdr:row>
      <xdr:rowOff>81529</xdr:rowOff>
    </xdr:to>
    <xdr:sp macro="" textlink="">
      <xdr:nvSpPr>
        <xdr:cNvPr id="284" name="Rechteck 283">
          <a:extLst>
            <a:ext uri="{FF2B5EF4-FFF2-40B4-BE49-F238E27FC236}">
              <a16:creationId xmlns:a16="http://schemas.microsoft.com/office/drawing/2014/main" id="{00000000-0008-0000-1000-00001C010000}"/>
            </a:ext>
          </a:extLst>
        </xdr:cNvPr>
        <xdr:cNvSpPr>
          <a:spLocks/>
        </xdr:cNvSpPr>
      </xdr:nvSpPr>
      <xdr:spPr>
        <a:xfrm>
          <a:off x="8132711" y="209715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9</xdr:row>
      <xdr:rowOff>58804</xdr:rowOff>
    </xdr:from>
    <xdr:to>
      <xdr:col>20</xdr:col>
      <xdr:colOff>2417467</xdr:colOff>
      <xdr:row>11</xdr:row>
      <xdr:rowOff>81529</xdr:rowOff>
    </xdr:to>
    <xdr:sp macro="" textlink="">
      <xdr:nvSpPr>
        <xdr:cNvPr id="285" name="Rechteck 284">
          <a:extLst>
            <a:ext uri="{FF2B5EF4-FFF2-40B4-BE49-F238E27FC236}">
              <a16:creationId xmlns:a16="http://schemas.microsoft.com/office/drawing/2014/main" id="{00000000-0008-0000-1000-00001D010000}"/>
            </a:ext>
          </a:extLst>
        </xdr:cNvPr>
        <xdr:cNvSpPr>
          <a:spLocks/>
        </xdr:cNvSpPr>
      </xdr:nvSpPr>
      <xdr:spPr>
        <a:xfrm>
          <a:off x="8856892" y="209715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25</xdr:row>
      <xdr:rowOff>142872</xdr:rowOff>
    </xdr:from>
    <xdr:to>
      <xdr:col>20</xdr:col>
      <xdr:colOff>972700</xdr:colOff>
      <xdr:row>26</xdr:row>
      <xdr:rowOff>365622</xdr:rowOff>
    </xdr:to>
    <xdr:sp macro="" textlink="">
      <xdr:nvSpPr>
        <xdr:cNvPr id="286" name="Rechteck 285">
          <a:extLst>
            <a:ext uri="{FF2B5EF4-FFF2-40B4-BE49-F238E27FC236}">
              <a16:creationId xmlns:a16="http://schemas.microsoft.com/office/drawing/2014/main" id="{00000000-0008-0000-1000-00001E010000}"/>
            </a:ext>
          </a:extLst>
        </xdr:cNvPr>
        <xdr:cNvSpPr>
          <a:spLocks/>
        </xdr:cNvSpPr>
      </xdr:nvSpPr>
      <xdr:spPr>
        <a:xfrm>
          <a:off x="7406328" y="781049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25</xdr:row>
      <xdr:rowOff>142872</xdr:rowOff>
    </xdr:from>
    <xdr:to>
      <xdr:col>20</xdr:col>
      <xdr:colOff>1693286</xdr:colOff>
      <xdr:row>26</xdr:row>
      <xdr:rowOff>365622</xdr:rowOff>
    </xdr:to>
    <xdr:sp macro="" textlink="">
      <xdr:nvSpPr>
        <xdr:cNvPr id="287" name="Rechteck 286">
          <a:extLst>
            <a:ext uri="{FF2B5EF4-FFF2-40B4-BE49-F238E27FC236}">
              <a16:creationId xmlns:a16="http://schemas.microsoft.com/office/drawing/2014/main" id="{00000000-0008-0000-1000-00001F010000}"/>
            </a:ext>
          </a:extLst>
        </xdr:cNvPr>
        <xdr:cNvSpPr>
          <a:spLocks/>
        </xdr:cNvSpPr>
      </xdr:nvSpPr>
      <xdr:spPr>
        <a:xfrm>
          <a:off x="8132711" y="781049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25</xdr:row>
      <xdr:rowOff>142872</xdr:rowOff>
    </xdr:from>
    <xdr:to>
      <xdr:col>20</xdr:col>
      <xdr:colOff>2417467</xdr:colOff>
      <xdr:row>26</xdr:row>
      <xdr:rowOff>365622</xdr:rowOff>
    </xdr:to>
    <xdr:sp macro="" textlink="">
      <xdr:nvSpPr>
        <xdr:cNvPr id="288" name="Rechteck 287">
          <a:extLst>
            <a:ext uri="{FF2B5EF4-FFF2-40B4-BE49-F238E27FC236}">
              <a16:creationId xmlns:a16="http://schemas.microsoft.com/office/drawing/2014/main" id="{00000000-0008-0000-1000-000020010000}"/>
            </a:ext>
          </a:extLst>
        </xdr:cNvPr>
        <xdr:cNvSpPr>
          <a:spLocks/>
        </xdr:cNvSpPr>
      </xdr:nvSpPr>
      <xdr:spPr>
        <a:xfrm>
          <a:off x="8856892" y="781049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23</xdr:row>
      <xdr:rowOff>96904</xdr:rowOff>
    </xdr:from>
    <xdr:to>
      <xdr:col>20</xdr:col>
      <xdr:colOff>972700</xdr:colOff>
      <xdr:row>25</xdr:row>
      <xdr:rowOff>119629</xdr:rowOff>
    </xdr:to>
    <xdr:sp macro="" textlink="">
      <xdr:nvSpPr>
        <xdr:cNvPr id="289" name="Rechteck 288">
          <a:extLst>
            <a:ext uri="{FF2B5EF4-FFF2-40B4-BE49-F238E27FC236}">
              <a16:creationId xmlns:a16="http://schemas.microsoft.com/office/drawing/2014/main" id="{00000000-0008-0000-1000-000021010000}"/>
            </a:ext>
          </a:extLst>
        </xdr:cNvPr>
        <xdr:cNvSpPr>
          <a:spLocks/>
        </xdr:cNvSpPr>
      </xdr:nvSpPr>
      <xdr:spPr>
        <a:xfrm>
          <a:off x="7406328" y="716445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23</xdr:row>
      <xdr:rowOff>96904</xdr:rowOff>
    </xdr:from>
    <xdr:to>
      <xdr:col>20</xdr:col>
      <xdr:colOff>1693286</xdr:colOff>
      <xdr:row>25</xdr:row>
      <xdr:rowOff>119629</xdr:rowOff>
    </xdr:to>
    <xdr:sp macro="" textlink="">
      <xdr:nvSpPr>
        <xdr:cNvPr id="290" name="Rechteck 289">
          <a:extLst>
            <a:ext uri="{FF2B5EF4-FFF2-40B4-BE49-F238E27FC236}">
              <a16:creationId xmlns:a16="http://schemas.microsoft.com/office/drawing/2014/main" id="{00000000-0008-0000-1000-000022010000}"/>
            </a:ext>
          </a:extLst>
        </xdr:cNvPr>
        <xdr:cNvSpPr>
          <a:spLocks/>
        </xdr:cNvSpPr>
      </xdr:nvSpPr>
      <xdr:spPr>
        <a:xfrm>
          <a:off x="8132711" y="716445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23</xdr:row>
      <xdr:rowOff>96904</xdr:rowOff>
    </xdr:from>
    <xdr:to>
      <xdr:col>20</xdr:col>
      <xdr:colOff>2417467</xdr:colOff>
      <xdr:row>25</xdr:row>
      <xdr:rowOff>119629</xdr:rowOff>
    </xdr:to>
    <xdr:sp macro="" textlink="">
      <xdr:nvSpPr>
        <xdr:cNvPr id="291" name="Rechteck 290">
          <a:extLst>
            <a:ext uri="{FF2B5EF4-FFF2-40B4-BE49-F238E27FC236}">
              <a16:creationId xmlns:a16="http://schemas.microsoft.com/office/drawing/2014/main" id="{00000000-0008-0000-1000-000023010000}"/>
            </a:ext>
          </a:extLst>
        </xdr:cNvPr>
        <xdr:cNvSpPr>
          <a:spLocks/>
        </xdr:cNvSpPr>
      </xdr:nvSpPr>
      <xdr:spPr>
        <a:xfrm>
          <a:off x="8856892" y="716445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30</xdr:row>
      <xdr:rowOff>133347</xdr:rowOff>
    </xdr:from>
    <xdr:to>
      <xdr:col>20</xdr:col>
      <xdr:colOff>972700</xdr:colOff>
      <xdr:row>31</xdr:row>
      <xdr:rowOff>356097</xdr:rowOff>
    </xdr:to>
    <xdr:sp macro="" textlink="">
      <xdr:nvSpPr>
        <xdr:cNvPr id="292" name="Rechteck 291">
          <a:extLst>
            <a:ext uri="{FF2B5EF4-FFF2-40B4-BE49-F238E27FC236}">
              <a16:creationId xmlns:a16="http://schemas.microsoft.com/office/drawing/2014/main" id="{00000000-0008-0000-1000-000024010000}"/>
            </a:ext>
          </a:extLst>
        </xdr:cNvPr>
        <xdr:cNvSpPr>
          <a:spLocks/>
        </xdr:cNvSpPr>
      </xdr:nvSpPr>
      <xdr:spPr>
        <a:xfrm>
          <a:off x="7406328" y="960119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30</xdr:row>
      <xdr:rowOff>133347</xdr:rowOff>
    </xdr:from>
    <xdr:to>
      <xdr:col>20</xdr:col>
      <xdr:colOff>1693286</xdr:colOff>
      <xdr:row>31</xdr:row>
      <xdr:rowOff>356097</xdr:rowOff>
    </xdr:to>
    <xdr:sp macro="" textlink="">
      <xdr:nvSpPr>
        <xdr:cNvPr id="293" name="Rechteck 292">
          <a:extLst>
            <a:ext uri="{FF2B5EF4-FFF2-40B4-BE49-F238E27FC236}">
              <a16:creationId xmlns:a16="http://schemas.microsoft.com/office/drawing/2014/main" id="{00000000-0008-0000-1000-000025010000}"/>
            </a:ext>
          </a:extLst>
        </xdr:cNvPr>
        <xdr:cNvSpPr>
          <a:spLocks/>
        </xdr:cNvSpPr>
      </xdr:nvSpPr>
      <xdr:spPr>
        <a:xfrm>
          <a:off x="8132711" y="960119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30</xdr:row>
      <xdr:rowOff>133347</xdr:rowOff>
    </xdr:from>
    <xdr:to>
      <xdr:col>20</xdr:col>
      <xdr:colOff>2417467</xdr:colOff>
      <xdr:row>31</xdr:row>
      <xdr:rowOff>356097</xdr:rowOff>
    </xdr:to>
    <xdr:sp macro="" textlink="">
      <xdr:nvSpPr>
        <xdr:cNvPr id="294" name="Rechteck 293">
          <a:extLst>
            <a:ext uri="{FF2B5EF4-FFF2-40B4-BE49-F238E27FC236}">
              <a16:creationId xmlns:a16="http://schemas.microsoft.com/office/drawing/2014/main" id="{00000000-0008-0000-1000-000026010000}"/>
            </a:ext>
          </a:extLst>
        </xdr:cNvPr>
        <xdr:cNvSpPr>
          <a:spLocks/>
        </xdr:cNvSpPr>
      </xdr:nvSpPr>
      <xdr:spPr>
        <a:xfrm>
          <a:off x="8856892" y="960119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28</xdr:row>
      <xdr:rowOff>87379</xdr:rowOff>
    </xdr:from>
    <xdr:to>
      <xdr:col>20</xdr:col>
      <xdr:colOff>972700</xdr:colOff>
      <xdr:row>30</xdr:row>
      <xdr:rowOff>110104</xdr:rowOff>
    </xdr:to>
    <xdr:sp macro="" textlink="">
      <xdr:nvSpPr>
        <xdr:cNvPr id="295" name="Rechteck 294">
          <a:extLst>
            <a:ext uri="{FF2B5EF4-FFF2-40B4-BE49-F238E27FC236}">
              <a16:creationId xmlns:a16="http://schemas.microsoft.com/office/drawing/2014/main" id="{00000000-0008-0000-1000-000027010000}"/>
            </a:ext>
          </a:extLst>
        </xdr:cNvPr>
        <xdr:cNvSpPr>
          <a:spLocks/>
        </xdr:cNvSpPr>
      </xdr:nvSpPr>
      <xdr:spPr>
        <a:xfrm>
          <a:off x="7406328" y="895515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28</xdr:row>
      <xdr:rowOff>87379</xdr:rowOff>
    </xdr:from>
    <xdr:to>
      <xdr:col>20</xdr:col>
      <xdr:colOff>1693286</xdr:colOff>
      <xdr:row>30</xdr:row>
      <xdr:rowOff>110104</xdr:rowOff>
    </xdr:to>
    <xdr:sp macro="" textlink="">
      <xdr:nvSpPr>
        <xdr:cNvPr id="296" name="Rechteck 295">
          <a:extLst>
            <a:ext uri="{FF2B5EF4-FFF2-40B4-BE49-F238E27FC236}">
              <a16:creationId xmlns:a16="http://schemas.microsoft.com/office/drawing/2014/main" id="{00000000-0008-0000-1000-000028010000}"/>
            </a:ext>
          </a:extLst>
        </xdr:cNvPr>
        <xdr:cNvSpPr>
          <a:spLocks/>
        </xdr:cNvSpPr>
      </xdr:nvSpPr>
      <xdr:spPr>
        <a:xfrm>
          <a:off x="8132711" y="895515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28</xdr:row>
      <xdr:rowOff>87379</xdr:rowOff>
    </xdr:from>
    <xdr:to>
      <xdr:col>20</xdr:col>
      <xdr:colOff>2417467</xdr:colOff>
      <xdr:row>30</xdr:row>
      <xdr:rowOff>110104</xdr:rowOff>
    </xdr:to>
    <xdr:sp macro="" textlink="">
      <xdr:nvSpPr>
        <xdr:cNvPr id="297" name="Rechteck 296">
          <a:extLst>
            <a:ext uri="{FF2B5EF4-FFF2-40B4-BE49-F238E27FC236}">
              <a16:creationId xmlns:a16="http://schemas.microsoft.com/office/drawing/2014/main" id="{00000000-0008-0000-1000-000029010000}"/>
            </a:ext>
          </a:extLst>
        </xdr:cNvPr>
        <xdr:cNvSpPr>
          <a:spLocks/>
        </xdr:cNvSpPr>
      </xdr:nvSpPr>
      <xdr:spPr>
        <a:xfrm>
          <a:off x="8856892" y="895515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34</xdr:row>
      <xdr:rowOff>133347</xdr:rowOff>
    </xdr:from>
    <xdr:to>
      <xdr:col>20</xdr:col>
      <xdr:colOff>972700</xdr:colOff>
      <xdr:row>35</xdr:row>
      <xdr:rowOff>356097</xdr:rowOff>
    </xdr:to>
    <xdr:sp macro="" textlink="">
      <xdr:nvSpPr>
        <xdr:cNvPr id="298" name="Rechteck 297">
          <a:extLst>
            <a:ext uri="{FF2B5EF4-FFF2-40B4-BE49-F238E27FC236}">
              <a16:creationId xmlns:a16="http://schemas.microsoft.com/office/drawing/2014/main" id="{00000000-0008-0000-1000-00002A010000}"/>
            </a:ext>
          </a:extLst>
        </xdr:cNvPr>
        <xdr:cNvSpPr>
          <a:spLocks/>
        </xdr:cNvSpPr>
      </xdr:nvSpPr>
      <xdr:spPr>
        <a:xfrm>
          <a:off x="7406328" y="1115377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34</xdr:row>
      <xdr:rowOff>133347</xdr:rowOff>
    </xdr:from>
    <xdr:to>
      <xdr:col>20</xdr:col>
      <xdr:colOff>1693286</xdr:colOff>
      <xdr:row>35</xdr:row>
      <xdr:rowOff>356097</xdr:rowOff>
    </xdr:to>
    <xdr:sp macro="" textlink="">
      <xdr:nvSpPr>
        <xdr:cNvPr id="299" name="Rechteck 298">
          <a:extLst>
            <a:ext uri="{FF2B5EF4-FFF2-40B4-BE49-F238E27FC236}">
              <a16:creationId xmlns:a16="http://schemas.microsoft.com/office/drawing/2014/main" id="{00000000-0008-0000-1000-00002B010000}"/>
            </a:ext>
          </a:extLst>
        </xdr:cNvPr>
        <xdr:cNvSpPr>
          <a:spLocks/>
        </xdr:cNvSpPr>
      </xdr:nvSpPr>
      <xdr:spPr>
        <a:xfrm>
          <a:off x="8132711" y="1115377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34</xdr:row>
      <xdr:rowOff>133347</xdr:rowOff>
    </xdr:from>
    <xdr:to>
      <xdr:col>20</xdr:col>
      <xdr:colOff>2417467</xdr:colOff>
      <xdr:row>35</xdr:row>
      <xdr:rowOff>356097</xdr:rowOff>
    </xdr:to>
    <xdr:sp macro="" textlink="">
      <xdr:nvSpPr>
        <xdr:cNvPr id="300" name="Rechteck 299">
          <a:extLst>
            <a:ext uri="{FF2B5EF4-FFF2-40B4-BE49-F238E27FC236}">
              <a16:creationId xmlns:a16="http://schemas.microsoft.com/office/drawing/2014/main" id="{00000000-0008-0000-1000-00002C010000}"/>
            </a:ext>
          </a:extLst>
        </xdr:cNvPr>
        <xdr:cNvSpPr>
          <a:spLocks/>
        </xdr:cNvSpPr>
      </xdr:nvSpPr>
      <xdr:spPr>
        <a:xfrm>
          <a:off x="8856892" y="1115377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32</xdr:row>
      <xdr:rowOff>87379</xdr:rowOff>
    </xdr:from>
    <xdr:to>
      <xdr:col>20</xdr:col>
      <xdr:colOff>972700</xdr:colOff>
      <xdr:row>34</xdr:row>
      <xdr:rowOff>110104</xdr:rowOff>
    </xdr:to>
    <xdr:sp macro="" textlink="">
      <xdr:nvSpPr>
        <xdr:cNvPr id="301" name="Rechteck 300">
          <a:extLst>
            <a:ext uri="{FF2B5EF4-FFF2-40B4-BE49-F238E27FC236}">
              <a16:creationId xmlns:a16="http://schemas.microsoft.com/office/drawing/2014/main" id="{00000000-0008-0000-1000-00002D010000}"/>
            </a:ext>
          </a:extLst>
        </xdr:cNvPr>
        <xdr:cNvSpPr>
          <a:spLocks/>
        </xdr:cNvSpPr>
      </xdr:nvSpPr>
      <xdr:spPr>
        <a:xfrm>
          <a:off x="7406328" y="1050772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32</xdr:row>
      <xdr:rowOff>87379</xdr:rowOff>
    </xdr:from>
    <xdr:to>
      <xdr:col>20</xdr:col>
      <xdr:colOff>1693286</xdr:colOff>
      <xdr:row>34</xdr:row>
      <xdr:rowOff>110104</xdr:rowOff>
    </xdr:to>
    <xdr:sp macro="" textlink="">
      <xdr:nvSpPr>
        <xdr:cNvPr id="302" name="Rechteck 301">
          <a:extLst>
            <a:ext uri="{FF2B5EF4-FFF2-40B4-BE49-F238E27FC236}">
              <a16:creationId xmlns:a16="http://schemas.microsoft.com/office/drawing/2014/main" id="{00000000-0008-0000-1000-00002E010000}"/>
            </a:ext>
          </a:extLst>
        </xdr:cNvPr>
        <xdr:cNvSpPr>
          <a:spLocks/>
        </xdr:cNvSpPr>
      </xdr:nvSpPr>
      <xdr:spPr>
        <a:xfrm>
          <a:off x="8132711" y="1050772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32</xdr:row>
      <xdr:rowOff>87379</xdr:rowOff>
    </xdr:from>
    <xdr:to>
      <xdr:col>20</xdr:col>
      <xdr:colOff>2417467</xdr:colOff>
      <xdr:row>34</xdr:row>
      <xdr:rowOff>110104</xdr:rowOff>
    </xdr:to>
    <xdr:sp macro="" textlink="">
      <xdr:nvSpPr>
        <xdr:cNvPr id="303" name="Rechteck 302">
          <a:extLst>
            <a:ext uri="{FF2B5EF4-FFF2-40B4-BE49-F238E27FC236}">
              <a16:creationId xmlns:a16="http://schemas.microsoft.com/office/drawing/2014/main" id="{00000000-0008-0000-1000-00002F010000}"/>
            </a:ext>
          </a:extLst>
        </xdr:cNvPr>
        <xdr:cNvSpPr>
          <a:spLocks/>
        </xdr:cNvSpPr>
      </xdr:nvSpPr>
      <xdr:spPr>
        <a:xfrm>
          <a:off x="8856892" y="1050772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42</xdr:row>
      <xdr:rowOff>123822</xdr:rowOff>
    </xdr:from>
    <xdr:to>
      <xdr:col>20</xdr:col>
      <xdr:colOff>972700</xdr:colOff>
      <xdr:row>43</xdr:row>
      <xdr:rowOff>346572</xdr:rowOff>
    </xdr:to>
    <xdr:sp macro="" textlink="">
      <xdr:nvSpPr>
        <xdr:cNvPr id="304" name="Rechteck 303">
          <a:extLst>
            <a:ext uri="{FF2B5EF4-FFF2-40B4-BE49-F238E27FC236}">
              <a16:creationId xmlns:a16="http://schemas.microsoft.com/office/drawing/2014/main" id="{00000000-0008-0000-1000-000030010000}"/>
            </a:ext>
          </a:extLst>
        </xdr:cNvPr>
        <xdr:cNvSpPr>
          <a:spLocks/>
        </xdr:cNvSpPr>
      </xdr:nvSpPr>
      <xdr:spPr>
        <a:xfrm>
          <a:off x="7406328" y="1414462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42</xdr:row>
      <xdr:rowOff>123822</xdr:rowOff>
    </xdr:from>
    <xdr:to>
      <xdr:col>20</xdr:col>
      <xdr:colOff>1693286</xdr:colOff>
      <xdr:row>43</xdr:row>
      <xdr:rowOff>346572</xdr:rowOff>
    </xdr:to>
    <xdr:sp macro="" textlink="">
      <xdr:nvSpPr>
        <xdr:cNvPr id="305" name="Rechteck 304">
          <a:extLst>
            <a:ext uri="{FF2B5EF4-FFF2-40B4-BE49-F238E27FC236}">
              <a16:creationId xmlns:a16="http://schemas.microsoft.com/office/drawing/2014/main" id="{00000000-0008-0000-1000-000031010000}"/>
            </a:ext>
          </a:extLst>
        </xdr:cNvPr>
        <xdr:cNvSpPr>
          <a:spLocks/>
        </xdr:cNvSpPr>
      </xdr:nvSpPr>
      <xdr:spPr>
        <a:xfrm>
          <a:off x="8132711" y="1414462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42</xdr:row>
      <xdr:rowOff>123822</xdr:rowOff>
    </xdr:from>
    <xdr:to>
      <xdr:col>20</xdr:col>
      <xdr:colOff>2417467</xdr:colOff>
      <xdr:row>43</xdr:row>
      <xdr:rowOff>346572</xdr:rowOff>
    </xdr:to>
    <xdr:sp macro="" textlink="">
      <xdr:nvSpPr>
        <xdr:cNvPr id="306" name="Rechteck 305">
          <a:extLst>
            <a:ext uri="{FF2B5EF4-FFF2-40B4-BE49-F238E27FC236}">
              <a16:creationId xmlns:a16="http://schemas.microsoft.com/office/drawing/2014/main" id="{00000000-0008-0000-1000-000032010000}"/>
            </a:ext>
          </a:extLst>
        </xdr:cNvPr>
        <xdr:cNvSpPr>
          <a:spLocks/>
        </xdr:cNvSpPr>
      </xdr:nvSpPr>
      <xdr:spPr>
        <a:xfrm>
          <a:off x="8856892" y="1414462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40</xdr:row>
      <xdr:rowOff>77854</xdr:rowOff>
    </xdr:from>
    <xdr:to>
      <xdr:col>20</xdr:col>
      <xdr:colOff>972700</xdr:colOff>
      <xdr:row>42</xdr:row>
      <xdr:rowOff>100579</xdr:rowOff>
    </xdr:to>
    <xdr:sp macro="" textlink="">
      <xdr:nvSpPr>
        <xdr:cNvPr id="307" name="Rechteck 306">
          <a:extLst>
            <a:ext uri="{FF2B5EF4-FFF2-40B4-BE49-F238E27FC236}">
              <a16:creationId xmlns:a16="http://schemas.microsoft.com/office/drawing/2014/main" id="{00000000-0008-0000-1000-000033010000}"/>
            </a:ext>
          </a:extLst>
        </xdr:cNvPr>
        <xdr:cNvSpPr>
          <a:spLocks/>
        </xdr:cNvSpPr>
      </xdr:nvSpPr>
      <xdr:spPr>
        <a:xfrm>
          <a:off x="7406328" y="1349857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40</xdr:row>
      <xdr:rowOff>77854</xdr:rowOff>
    </xdr:from>
    <xdr:to>
      <xdr:col>20</xdr:col>
      <xdr:colOff>1693286</xdr:colOff>
      <xdr:row>42</xdr:row>
      <xdr:rowOff>100579</xdr:rowOff>
    </xdr:to>
    <xdr:sp macro="" textlink="">
      <xdr:nvSpPr>
        <xdr:cNvPr id="308" name="Rechteck 307">
          <a:extLst>
            <a:ext uri="{FF2B5EF4-FFF2-40B4-BE49-F238E27FC236}">
              <a16:creationId xmlns:a16="http://schemas.microsoft.com/office/drawing/2014/main" id="{00000000-0008-0000-1000-000034010000}"/>
            </a:ext>
          </a:extLst>
        </xdr:cNvPr>
        <xdr:cNvSpPr>
          <a:spLocks/>
        </xdr:cNvSpPr>
      </xdr:nvSpPr>
      <xdr:spPr>
        <a:xfrm>
          <a:off x="8132711" y="1349857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40</xdr:row>
      <xdr:rowOff>77854</xdr:rowOff>
    </xdr:from>
    <xdr:to>
      <xdr:col>20</xdr:col>
      <xdr:colOff>2417467</xdr:colOff>
      <xdr:row>42</xdr:row>
      <xdr:rowOff>100579</xdr:rowOff>
    </xdr:to>
    <xdr:sp macro="" textlink="">
      <xdr:nvSpPr>
        <xdr:cNvPr id="309" name="Rechteck 308">
          <a:extLst>
            <a:ext uri="{FF2B5EF4-FFF2-40B4-BE49-F238E27FC236}">
              <a16:creationId xmlns:a16="http://schemas.microsoft.com/office/drawing/2014/main" id="{00000000-0008-0000-1000-000035010000}"/>
            </a:ext>
          </a:extLst>
        </xdr:cNvPr>
        <xdr:cNvSpPr>
          <a:spLocks/>
        </xdr:cNvSpPr>
      </xdr:nvSpPr>
      <xdr:spPr>
        <a:xfrm>
          <a:off x="8856892" y="1349857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51</xdr:row>
      <xdr:rowOff>142872</xdr:rowOff>
    </xdr:from>
    <xdr:to>
      <xdr:col>20</xdr:col>
      <xdr:colOff>972700</xdr:colOff>
      <xdr:row>52</xdr:row>
      <xdr:rowOff>365622</xdr:rowOff>
    </xdr:to>
    <xdr:sp macro="" textlink="">
      <xdr:nvSpPr>
        <xdr:cNvPr id="310" name="Rechteck 309">
          <a:extLst>
            <a:ext uri="{FF2B5EF4-FFF2-40B4-BE49-F238E27FC236}">
              <a16:creationId xmlns:a16="http://schemas.microsoft.com/office/drawing/2014/main" id="{00000000-0008-0000-1000-000036010000}"/>
            </a:ext>
          </a:extLst>
        </xdr:cNvPr>
        <xdr:cNvSpPr>
          <a:spLocks/>
        </xdr:cNvSpPr>
      </xdr:nvSpPr>
      <xdr:spPr>
        <a:xfrm>
          <a:off x="7406328" y="1763077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51</xdr:row>
      <xdr:rowOff>142872</xdr:rowOff>
    </xdr:from>
    <xdr:to>
      <xdr:col>20</xdr:col>
      <xdr:colOff>1693286</xdr:colOff>
      <xdr:row>52</xdr:row>
      <xdr:rowOff>365622</xdr:rowOff>
    </xdr:to>
    <xdr:sp macro="" textlink="">
      <xdr:nvSpPr>
        <xdr:cNvPr id="311" name="Rechteck 310">
          <a:extLst>
            <a:ext uri="{FF2B5EF4-FFF2-40B4-BE49-F238E27FC236}">
              <a16:creationId xmlns:a16="http://schemas.microsoft.com/office/drawing/2014/main" id="{00000000-0008-0000-1000-000037010000}"/>
            </a:ext>
          </a:extLst>
        </xdr:cNvPr>
        <xdr:cNvSpPr>
          <a:spLocks/>
        </xdr:cNvSpPr>
      </xdr:nvSpPr>
      <xdr:spPr>
        <a:xfrm>
          <a:off x="8132711" y="1763077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51</xdr:row>
      <xdr:rowOff>142872</xdr:rowOff>
    </xdr:from>
    <xdr:to>
      <xdr:col>20</xdr:col>
      <xdr:colOff>2417467</xdr:colOff>
      <xdr:row>52</xdr:row>
      <xdr:rowOff>365622</xdr:rowOff>
    </xdr:to>
    <xdr:sp macro="" textlink="">
      <xdr:nvSpPr>
        <xdr:cNvPr id="312" name="Rechteck 311">
          <a:extLst>
            <a:ext uri="{FF2B5EF4-FFF2-40B4-BE49-F238E27FC236}">
              <a16:creationId xmlns:a16="http://schemas.microsoft.com/office/drawing/2014/main" id="{00000000-0008-0000-1000-000038010000}"/>
            </a:ext>
          </a:extLst>
        </xdr:cNvPr>
        <xdr:cNvSpPr>
          <a:spLocks/>
        </xdr:cNvSpPr>
      </xdr:nvSpPr>
      <xdr:spPr>
        <a:xfrm>
          <a:off x="8856892" y="1763077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49</xdr:row>
      <xdr:rowOff>96904</xdr:rowOff>
    </xdr:from>
    <xdr:to>
      <xdr:col>20</xdr:col>
      <xdr:colOff>972700</xdr:colOff>
      <xdr:row>51</xdr:row>
      <xdr:rowOff>119629</xdr:rowOff>
    </xdr:to>
    <xdr:sp macro="" textlink="">
      <xdr:nvSpPr>
        <xdr:cNvPr id="313" name="Rechteck 312">
          <a:extLst>
            <a:ext uri="{FF2B5EF4-FFF2-40B4-BE49-F238E27FC236}">
              <a16:creationId xmlns:a16="http://schemas.microsoft.com/office/drawing/2014/main" id="{00000000-0008-0000-1000-000039010000}"/>
            </a:ext>
          </a:extLst>
        </xdr:cNvPr>
        <xdr:cNvSpPr>
          <a:spLocks/>
        </xdr:cNvSpPr>
      </xdr:nvSpPr>
      <xdr:spPr>
        <a:xfrm>
          <a:off x="7406328" y="1698472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49</xdr:row>
      <xdr:rowOff>96904</xdr:rowOff>
    </xdr:from>
    <xdr:to>
      <xdr:col>20</xdr:col>
      <xdr:colOff>1693286</xdr:colOff>
      <xdr:row>51</xdr:row>
      <xdr:rowOff>119629</xdr:rowOff>
    </xdr:to>
    <xdr:sp macro="" textlink="">
      <xdr:nvSpPr>
        <xdr:cNvPr id="314" name="Rechteck 313">
          <a:extLst>
            <a:ext uri="{FF2B5EF4-FFF2-40B4-BE49-F238E27FC236}">
              <a16:creationId xmlns:a16="http://schemas.microsoft.com/office/drawing/2014/main" id="{00000000-0008-0000-1000-00003A010000}"/>
            </a:ext>
          </a:extLst>
        </xdr:cNvPr>
        <xdr:cNvSpPr>
          <a:spLocks/>
        </xdr:cNvSpPr>
      </xdr:nvSpPr>
      <xdr:spPr>
        <a:xfrm>
          <a:off x="8132711" y="1698472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49</xdr:row>
      <xdr:rowOff>96904</xdr:rowOff>
    </xdr:from>
    <xdr:to>
      <xdr:col>20</xdr:col>
      <xdr:colOff>2417467</xdr:colOff>
      <xdr:row>51</xdr:row>
      <xdr:rowOff>119629</xdr:rowOff>
    </xdr:to>
    <xdr:sp macro="" textlink="">
      <xdr:nvSpPr>
        <xdr:cNvPr id="315" name="Rechteck 314">
          <a:extLst>
            <a:ext uri="{FF2B5EF4-FFF2-40B4-BE49-F238E27FC236}">
              <a16:creationId xmlns:a16="http://schemas.microsoft.com/office/drawing/2014/main" id="{00000000-0008-0000-1000-00003B010000}"/>
            </a:ext>
          </a:extLst>
        </xdr:cNvPr>
        <xdr:cNvSpPr>
          <a:spLocks/>
        </xdr:cNvSpPr>
      </xdr:nvSpPr>
      <xdr:spPr>
        <a:xfrm>
          <a:off x="8856892" y="1698472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47</xdr:row>
      <xdr:rowOff>133347</xdr:rowOff>
    </xdr:from>
    <xdr:to>
      <xdr:col>20</xdr:col>
      <xdr:colOff>972700</xdr:colOff>
      <xdr:row>48</xdr:row>
      <xdr:rowOff>356097</xdr:rowOff>
    </xdr:to>
    <xdr:sp macro="" textlink="">
      <xdr:nvSpPr>
        <xdr:cNvPr id="316" name="Rechteck 315">
          <a:extLst>
            <a:ext uri="{FF2B5EF4-FFF2-40B4-BE49-F238E27FC236}">
              <a16:creationId xmlns:a16="http://schemas.microsoft.com/office/drawing/2014/main" id="{00000000-0008-0000-1000-00003C010000}"/>
            </a:ext>
          </a:extLst>
        </xdr:cNvPr>
        <xdr:cNvSpPr>
          <a:spLocks/>
        </xdr:cNvSpPr>
      </xdr:nvSpPr>
      <xdr:spPr>
        <a:xfrm>
          <a:off x="7406328" y="1595437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47</xdr:row>
      <xdr:rowOff>133347</xdr:rowOff>
    </xdr:from>
    <xdr:to>
      <xdr:col>20</xdr:col>
      <xdr:colOff>1693286</xdr:colOff>
      <xdr:row>48</xdr:row>
      <xdr:rowOff>356097</xdr:rowOff>
    </xdr:to>
    <xdr:sp macro="" textlink="">
      <xdr:nvSpPr>
        <xdr:cNvPr id="317" name="Rechteck 316">
          <a:extLst>
            <a:ext uri="{FF2B5EF4-FFF2-40B4-BE49-F238E27FC236}">
              <a16:creationId xmlns:a16="http://schemas.microsoft.com/office/drawing/2014/main" id="{00000000-0008-0000-1000-00003D010000}"/>
            </a:ext>
          </a:extLst>
        </xdr:cNvPr>
        <xdr:cNvSpPr>
          <a:spLocks/>
        </xdr:cNvSpPr>
      </xdr:nvSpPr>
      <xdr:spPr>
        <a:xfrm>
          <a:off x="8132711" y="1595437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47</xdr:row>
      <xdr:rowOff>133347</xdr:rowOff>
    </xdr:from>
    <xdr:to>
      <xdr:col>20</xdr:col>
      <xdr:colOff>2417467</xdr:colOff>
      <xdr:row>48</xdr:row>
      <xdr:rowOff>356097</xdr:rowOff>
    </xdr:to>
    <xdr:sp macro="" textlink="">
      <xdr:nvSpPr>
        <xdr:cNvPr id="318" name="Rechteck 317">
          <a:extLst>
            <a:ext uri="{FF2B5EF4-FFF2-40B4-BE49-F238E27FC236}">
              <a16:creationId xmlns:a16="http://schemas.microsoft.com/office/drawing/2014/main" id="{00000000-0008-0000-1000-00003E010000}"/>
            </a:ext>
          </a:extLst>
        </xdr:cNvPr>
        <xdr:cNvSpPr>
          <a:spLocks/>
        </xdr:cNvSpPr>
      </xdr:nvSpPr>
      <xdr:spPr>
        <a:xfrm>
          <a:off x="8856892" y="1595437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45</xdr:row>
      <xdr:rowOff>87379</xdr:rowOff>
    </xdr:from>
    <xdr:to>
      <xdr:col>20</xdr:col>
      <xdr:colOff>972700</xdr:colOff>
      <xdr:row>47</xdr:row>
      <xdr:rowOff>110104</xdr:rowOff>
    </xdr:to>
    <xdr:sp macro="" textlink="">
      <xdr:nvSpPr>
        <xdr:cNvPr id="319" name="Rechteck 318">
          <a:extLst>
            <a:ext uri="{FF2B5EF4-FFF2-40B4-BE49-F238E27FC236}">
              <a16:creationId xmlns:a16="http://schemas.microsoft.com/office/drawing/2014/main" id="{00000000-0008-0000-1000-00003F010000}"/>
            </a:ext>
          </a:extLst>
        </xdr:cNvPr>
        <xdr:cNvSpPr>
          <a:spLocks/>
        </xdr:cNvSpPr>
      </xdr:nvSpPr>
      <xdr:spPr>
        <a:xfrm>
          <a:off x="7406328" y="1530832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45</xdr:row>
      <xdr:rowOff>87379</xdr:rowOff>
    </xdr:from>
    <xdr:to>
      <xdr:col>20</xdr:col>
      <xdr:colOff>1693286</xdr:colOff>
      <xdr:row>47</xdr:row>
      <xdr:rowOff>110104</xdr:rowOff>
    </xdr:to>
    <xdr:sp macro="" textlink="">
      <xdr:nvSpPr>
        <xdr:cNvPr id="320" name="Rechteck 319">
          <a:extLst>
            <a:ext uri="{FF2B5EF4-FFF2-40B4-BE49-F238E27FC236}">
              <a16:creationId xmlns:a16="http://schemas.microsoft.com/office/drawing/2014/main" id="{00000000-0008-0000-1000-000040010000}"/>
            </a:ext>
          </a:extLst>
        </xdr:cNvPr>
        <xdr:cNvSpPr>
          <a:spLocks/>
        </xdr:cNvSpPr>
      </xdr:nvSpPr>
      <xdr:spPr>
        <a:xfrm>
          <a:off x="8132711" y="1530832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45</xdr:row>
      <xdr:rowOff>87379</xdr:rowOff>
    </xdr:from>
    <xdr:to>
      <xdr:col>20</xdr:col>
      <xdr:colOff>2417467</xdr:colOff>
      <xdr:row>47</xdr:row>
      <xdr:rowOff>110104</xdr:rowOff>
    </xdr:to>
    <xdr:sp macro="" textlink="">
      <xdr:nvSpPr>
        <xdr:cNvPr id="321" name="Rechteck 320">
          <a:extLst>
            <a:ext uri="{FF2B5EF4-FFF2-40B4-BE49-F238E27FC236}">
              <a16:creationId xmlns:a16="http://schemas.microsoft.com/office/drawing/2014/main" id="{00000000-0008-0000-1000-000041010000}"/>
            </a:ext>
          </a:extLst>
        </xdr:cNvPr>
        <xdr:cNvSpPr>
          <a:spLocks/>
        </xdr:cNvSpPr>
      </xdr:nvSpPr>
      <xdr:spPr>
        <a:xfrm>
          <a:off x="8856892" y="1530832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56</xdr:row>
      <xdr:rowOff>123822</xdr:rowOff>
    </xdr:from>
    <xdr:to>
      <xdr:col>20</xdr:col>
      <xdr:colOff>972700</xdr:colOff>
      <xdr:row>56</xdr:row>
      <xdr:rowOff>746622</xdr:rowOff>
    </xdr:to>
    <xdr:sp macro="" textlink="">
      <xdr:nvSpPr>
        <xdr:cNvPr id="322" name="Rechteck 321">
          <a:extLst>
            <a:ext uri="{FF2B5EF4-FFF2-40B4-BE49-F238E27FC236}">
              <a16:creationId xmlns:a16="http://schemas.microsoft.com/office/drawing/2014/main" id="{00000000-0008-0000-1000-000042010000}"/>
            </a:ext>
          </a:extLst>
        </xdr:cNvPr>
        <xdr:cNvSpPr>
          <a:spLocks/>
        </xdr:cNvSpPr>
      </xdr:nvSpPr>
      <xdr:spPr>
        <a:xfrm>
          <a:off x="7406328" y="1941194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56</xdr:row>
      <xdr:rowOff>123822</xdr:rowOff>
    </xdr:from>
    <xdr:to>
      <xdr:col>20</xdr:col>
      <xdr:colOff>1693286</xdr:colOff>
      <xdr:row>56</xdr:row>
      <xdr:rowOff>746622</xdr:rowOff>
    </xdr:to>
    <xdr:sp macro="" textlink="">
      <xdr:nvSpPr>
        <xdr:cNvPr id="323" name="Rechteck 322">
          <a:extLst>
            <a:ext uri="{FF2B5EF4-FFF2-40B4-BE49-F238E27FC236}">
              <a16:creationId xmlns:a16="http://schemas.microsoft.com/office/drawing/2014/main" id="{00000000-0008-0000-1000-000043010000}"/>
            </a:ext>
          </a:extLst>
        </xdr:cNvPr>
        <xdr:cNvSpPr>
          <a:spLocks/>
        </xdr:cNvSpPr>
      </xdr:nvSpPr>
      <xdr:spPr>
        <a:xfrm>
          <a:off x="8132711" y="1941194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56</xdr:row>
      <xdr:rowOff>123822</xdr:rowOff>
    </xdr:from>
    <xdr:to>
      <xdr:col>20</xdr:col>
      <xdr:colOff>2417467</xdr:colOff>
      <xdr:row>56</xdr:row>
      <xdr:rowOff>746622</xdr:rowOff>
    </xdr:to>
    <xdr:sp macro="" textlink="">
      <xdr:nvSpPr>
        <xdr:cNvPr id="324" name="Rechteck 323">
          <a:extLst>
            <a:ext uri="{FF2B5EF4-FFF2-40B4-BE49-F238E27FC236}">
              <a16:creationId xmlns:a16="http://schemas.microsoft.com/office/drawing/2014/main" id="{00000000-0008-0000-1000-000044010000}"/>
            </a:ext>
          </a:extLst>
        </xdr:cNvPr>
        <xdr:cNvSpPr>
          <a:spLocks/>
        </xdr:cNvSpPr>
      </xdr:nvSpPr>
      <xdr:spPr>
        <a:xfrm>
          <a:off x="8856892" y="1941194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54</xdr:row>
      <xdr:rowOff>77854</xdr:rowOff>
    </xdr:from>
    <xdr:to>
      <xdr:col>20</xdr:col>
      <xdr:colOff>972700</xdr:colOff>
      <xdr:row>56</xdr:row>
      <xdr:rowOff>100579</xdr:rowOff>
    </xdr:to>
    <xdr:sp macro="" textlink="">
      <xdr:nvSpPr>
        <xdr:cNvPr id="325" name="Rechteck 324">
          <a:extLst>
            <a:ext uri="{FF2B5EF4-FFF2-40B4-BE49-F238E27FC236}">
              <a16:creationId xmlns:a16="http://schemas.microsoft.com/office/drawing/2014/main" id="{00000000-0008-0000-1000-000045010000}"/>
            </a:ext>
          </a:extLst>
        </xdr:cNvPr>
        <xdr:cNvSpPr>
          <a:spLocks/>
        </xdr:cNvSpPr>
      </xdr:nvSpPr>
      <xdr:spPr>
        <a:xfrm>
          <a:off x="7406328" y="1876590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54</xdr:row>
      <xdr:rowOff>77854</xdr:rowOff>
    </xdr:from>
    <xdr:to>
      <xdr:col>20</xdr:col>
      <xdr:colOff>1693286</xdr:colOff>
      <xdr:row>56</xdr:row>
      <xdr:rowOff>100579</xdr:rowOff>
    </xdr:to>
    <xdr:sp macro="" textlink="">
      <xdr:nvSpPr>
        <xdr:cNvPr id="326" name="Rechteck 325">
          <a:extLst>
            <a:ext uri="{FF2B5EF4-FFF2-40B4-BE49-F238E27FC236}">
              <a16:creationId xmlns:a16="http://schemas.microsoft.com/office/drawing/2014/main" id="{00000000-0008-0000-1000-000046010000}"/>
            </a:ext>
          </a:extLst>
        </xdr:cNvPr>
        <xdr:cNvSpPr>
          <a:spLocks/>
        </xdr:cNvSpPr>
      </xdr:nvSpPr>
      <xdr:spPr>
        <a:xfrm>
          <a:off x="8132711" y="1876590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54</xdr:row>
      <xdr:rowOff>77854</xdr:rowOff>
    </xdr:from>
    <xdr:to>
      <xdr:col>20</xdr:col>
      <xdr:colOff>2417467</xdr:colOff>
      <xdr:row>56</xdr:row>
      <xdr:rowOff>100579</xdr:rowOff>
    </xdr:to>
    <xdr:sp macro="" textlink="">
      <xdr:nvSpPr>
        <xdr:cNvPr id="327" name="Rechteck 326">
          <a:extLst>
            <a:ext uri="{FF2B5EF4-FFF2-40B4-BE49-F238E27FC236}">
              <a16:creationId xmlns:a16="http://schemas.microsoft.com/office/drawing/2014/main" id="{00000000-0008-0000-1000-000047010000}"/>
            </a:ext>
          </a:extLst>
        </xdr:cNvPr>
        <xdr:cNvSpPr>
          <a:spLocks/>
        </xdr:cNvSpPr>
      </xdr:nvSpPr>
      <xdr:spPr>
        <a:xfrm>
          <a:off x="8856892" y="1876590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262578</xdr:colOff>
      <xdr:row>16</xdr:row>
      <xdr:rowOff>171447</xdr:rowOff>
    </xdr:from>
    <xdr:to>
      <xdr:col>20</xdr:col>
      <xdr:colOff>963175</xdr:colOff>
      <xdr:row>17</xdr:row>
      <xdr:rowOff>394197</xdr:rowOff>
    </xdr:to>
    <xdr:sp macro="" textlink="">
      <xdr:nvSpPr>
        <xdr:cNvPr id="328" name="Rechteck 327">
          <a:extLst>
            <a:ext uri="{FF2B5EF4-FFF2-40B4-BE49-F238E27FC236}">
              <a16:creationId xmlns:a16="http://schemas.microsoft.com/office/drawing/2014/main" id="{00000000-0008-0000-1000-000048010000}"/>
            </a:ext>
          </a:extLst>
        </xdr:cNvPr>
        <xdr:cNvSpPr>
          <a:spLocks/>
        </xdr:cNvSpPr>
      </xdr:nvSpPr>
      <xdr:spPr>
        <a:xfrm>
          <a:off x="7396803" y="443864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16</xdr:row>
      <xdr:rowOff>171447</xdr:rowOff>
    </xdr:from>
    <xdr:to>
      <xdr:col>20</xdr:col>
      <xdr:colOff>1693286</xdr:colOff>
      <xdr:row>17</xdr:row>
      <xdr:rowOff>394197</xdr:rowOff>
    </xdr:to>
    <xdr:sp macro="" textlink="">
      <xdr:nvSpPr>
        <xdr:cNvPr id="329" name="Rechteck 328">
          <a:extLst>
            <a:ext uri="{FF2B5EF4-FFF2-40B4-BE49-F238E27FC236}">
              <a16:creationId xmlns:a16="http://schemas.microsoft.com/office/drawing/2014/main" id="{00000000-0008-0000-1000-000049010000}"/>
            </a:ext>
          </a:extLst>
        </xdr:cNvPr>
        <xdr:cNvSpPr>
          <a:spLocks/>
        </xdr:cNvSpPr>
      </xdr:nvSpPr>
      <xdr:spPr>
        <a:xfrm>
          <a:off x="8132711" y="443864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16</xdr:row>
      <xdr:rowOff>171447</xdr:rowOff>
    </xdr:from>
    <xdr:to>
      <xdr:col>20</xdr:col>
      <xdr:colOff>2417467</xdr:colOff>
      <xdr:row>17</xdr:row>
      <xdr:rowOff>394197</xdr:rowOff>
    </xdr:to>
    <xdr:sp macro="" textlink="">
      <xdr:nvSpPr>
        <xdr:cNvPr id="330" name="Rechteck 329">
          <a:extLst>
            <a:ext uri="{FF2B5EF4-FFF2-40B4-BE49-F238E27FC236}">
              <a16:creationId xmlns:a16="http://schemas.microsoft.com/office/drawing/2014/main" id="{00000000-0008-0000-1000-00004A010000}"/>
            </a:ext>
          </a:extLst>
        </xdr:cNvPr>
        <xdr:cNvSpPr>
          <a:spLocks/>
        </xdr:cNvSpPr>
      </xdr:nvSpPr>
      <xdr:spPr>
        <a:xfrm>
          <a:off x="8856892" y="443864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262578</xdr:colOff>
      <xdr:row>14</xdr:row>
      <xdr:rowOff>125479</xdr:rowOff>
    </xdr:from>
    <xdr:to>
      <xdr:col>20</xdr:col>
      <xdr:colOff>963175</xdr:colOff>
      <xdr:row>16</xdr:row>
      <xdr:rowOff>148204</xdr:rowOff>
    </xdr:to>
    <xdr:sp macro="" textlink="">
      <xdr:nvSpPr>
        <xdr:cNvPr id="331" name="Rechteck 330">
          <a:extLst>
            <a:ext uri="{FF2B5EF4-FFF2-40B4-BE49-F238E27FC236}">
              <a16:creationId xmlns:a16="http://schemas.microsoft.com/office/drawing/2014/main" id="{00000000-0008-0000-1000-00004B010000}"/>
            </a:ext>
          </a:extLst>
        </xdr:cNvPr>
        <xdr:cNvSpPr>
          <a:spLocks/>
        </xdr:cNvSpPr>
      </xdr:nvSpPr>
      <xdr:spPr>
        <a:xfrm>
          <a:off x="7396803" y="379260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14</xdr:row>
      <xdr:rowOff>125479</xdr:rowOff>
    </xdr:from>
    <xdr:to>
      <xdr:col>20</xdr:col>
      <xdr:colOff>1693286</xdr:colOff>
      <xdr:row>16</xdr:row>
      <xdr:rowOff>148204</xdr:rowOff>
    </xdr:to>
    <xdr:sp macro="" textlink="">
      <xdr:nvSpPr>
        <xdr:cNvPr id="332" name="Rechteck 331">
          <a:extLst>
            <a:ext uri="{FF2B5EF4-FFF2-40B4-BE49-F238E27FC236}">
              <a16:creationId xmlns:a16="http://schemas.microsoft.com/office/drawing/2014/main" id="{00000000-0008-0000-1000-00004C010000}"/>
            </a:ext>
          </a:extLst>
        </xdr:cNvPr>
        <xdr:cNvSpPr>
          <a:spLocks/>
        </xdr:cNvSpPr>
      </xdr:nvSpPr>
      <xdr:spPr>
        <a:xfrm>
          <a:off x="8132711" y="379260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14</xdr:row>
      <xdr:rowOff>125479</xdr:rowOff>
    </xdr:from>
    <xdr:to>
      <xdr:col>20</xdr:col>
      <xdr:colOff>2417467</xdr:colOff>
      <xdr:row>16</xdr:row>
      <xdr:rowOff>148204</xdr:rowOff>
    </xdr:to>
    <xdr:sp macro="" textlink="">
      <xdr:nvSpPr>
        <xdr:cNvPr id="333" name="Rechteck 332">
          <a:extLst>
            <a:ext uri="{FF2B5EF4-FFF2-40B4-BE49-F238E27FC236}">
              <a16:creationId xmlns:a16="http://schemas.microsoft.com/office/drawing/2014/main" id="{00000000-0008-0000-1000-00004D010000}"/>
            </a:ext>
          </a:extLst>
        </xdr:cNvPr>
        <xdr:cNvSpPr>
          <a:spLocks/>
        </xdr:cNvSpPr>
      </xdr:nvSpPr>
      <xdr:spPr>
        <a:xfrm>
          <a:off x="8856892" y="379260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0</xdr:col>
      <xdr:colOff>66675</xdr:colOff>
      <xdr:row>56</xdr:row>
      <xdr:rowOff>838200</xdr:rowOff>
    </xdr:from>
    <xdr:to>
      <xdr:col>0</xdr:col>
      <xdr:colOff>390675</xdr:colOff>
      <xdr:row>57</xdr:row>
      <xdr:rowOff>1615</xdr:rowOff>
    </xdr:to>
    <xdr:grpSp>
      <xdr:nvGrpSpPr>
        <xdr:cNvPr id="334" name="Gruppieren 33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000-00004E010000}"/>
            </a:ext>
          </a:extLst>
        </xdr:cNvPr>
        <xdr:cNvGrpSpPr/>
      </xdr:nvGrpSpPr>
      <xdr:grpSpPr>
        <a:xfrm>
          <a:off x="66675" y="19972020"/>
          <a:ext cx="324000" cy="321655"/>
          <a:chOff x="66675" y="4972050"/>
          <a:chExt cx="324000" cy="325465"/>
        </a:xfrm>
      </xdr:grpSpPr>
      <xdr:sp macro="" textlink="">
        <xdr:nvSpPr>
          <xdr:cNvPr id="335" name="Rechteck 334">
            <a:extLst>
              <a:ext uri="{FF2B5EF4-FFF2-40B4-BE49-F238E27FC236}">
                <a16:creationId xmlns:a16="http://schemas.microsoft.com/office/drawing/2014/main" id="{00000000-0008-0000-1000-00004F01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6" name="Pfeil nach oben 335">
            <a:extLst>
              <a:ext uri="{FF2B5EF4-FFF2-40B4-BE49-F238E27FC236}">
                <a16:creationId xmlns:a16="http://schemas.microsoft.com/office/drawing/2014/main" id="{00000000-0008-0000-1000-00005001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337" name="Gruppieren 33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1000-000051010000}"/>
            </a:ext>
          </a:extLst>
        </xdr:cNvPr>
        <xdr:cNvGrpSpPr/>
      </xdr:nvGrpSpPr>
      <xdr:grpSpPr>
        <a:xfrm>
          <a:off x="66675" y="104775"/>
          <a:ext cx="324000" cy="325465"/>
          <a:chOff x="9191625" y="3009900"/>
          <a:chExt cx="324000" cy="325465"/>
        </a:xfrm>
      </xdr:grpSpPr>
      <xdr:sp macro="" textlink="">
        <xdr:nvSpPr>
          <xdr:cNvPr id="338" name="Rechteck 337">
            <a:extLst>
              <a:ext uri="{FF2B5EF4-FFF2-40B4-BE49-F238E27FC236}">
                <a16:creationId xmlns:a16="http://schemas.microsoft.com/office/drawing/2014/main" id="{00000000-0008-0000-1000-00005201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9" name="Pfeil nach links 338">
            <a:extLst>
              <a:ext uri="{FF2B5EF4-FFF2-40B4-BE49-F238E27FC236}">
                <a16:creationId xmlns:a16="http://schemas.microsoft.com/office/drawing/2014/main" id="{00000000-0008-0000-1000-00005301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0</xdr:col>
      <xdr:colOff>200024</xdr:colOff>
      <xdr:row>62</xdr:row>
      <xdr:rowOff>142876</xdr:rowOff>
    </xdr:from>
    <xdr:to>
      <xdr:col>20</xdr:col>
      <xdr:colOff>1724025</xdr:colOff>
      <xdr:row>96</xdr:row>
      <xdr:rowOff>76200</xdr:rowOff>
    </xdr:to>
    <xdr:graphicFrame macro="">
      <xdr:nvGraphicFramePr>
        <xdr:cNvPr id="340" name="Diagramm 339">
          <a:extLst>
            <a:ext uri="{FF2B5EF4-FFF2-40B4-BE49-F238E27FC236}">
              <a16:creationId xmlns:a16="http://schemas.microsoft.com/office/drawing/2014/main" id="{00000000-0008-0000-1000-000054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3</xdr:col>
      <xdr:colOff>866776</xdr:colOff>
      <xdr:row>68</xdr:row>
      <xdr:rowOff>76201</xdr:rowOff>
    </xdr:from>
    <xdr:to>
      <xdr:col>4</xdr:col>
      <xdr:colOff>302837</xdr:colOff>
      <xdr:row>70</xdr:row>
      <xdr:rowOff>57151</xdr:rowOff>
    </xdr:to>
    <xdr:pic>
      <xdr:nvPicPr>
        <xdr:cNvPr id="341" name="Picture 2">
          <a:extLst>
            <a:ext uri="{FF2B5EF4-FFF2-40B4-BE49-F238E27FC236}">
              <a16:creationId xmlns:a16="http://schemas.microsoft.com/office/drawing/2014/main" id="{00000000-0008-0000-1000-000055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590676" y="22383751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47625</xdr:colOff>
      <xdr:row>60</xdr:row>
      <xdr:rowOff>47625</xdr:rowOff>
    </xdr:from>
    <xdr:to>
      <xdr:col>8</xdr:col>
      <xdr:colOff>91907</xdr:colOff>
      <xdr:row>62</xdr:row>
      <xdr:rowOff>114300</xdr:rowOff>
    </xdr:to>
    <xdr:pic>
      <xdr:nvPicPr>
        <xdr:cNvPr id="342" name="Picture 2">
          <a:extLst>
            <a:ext uri="{FF2B5EF4-FFF2-40B4-BE49-F238E27FC236}">
              <a16:creationId xmlns:a16="http://schemas.microsoft.com/office/drawing/2014/main" id="{00000000-0008-0000-1000-000056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276725" y="20840700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76200</xdr:colOff>
      <xdr:row>68</xdr:row>
      <xdr:rowOff>47625</xdr:rowOff>
    </xdr:from>
    <xdr:to>
      <xdr:col>20</xdr:col>
      <xdr:colOff>504825</xdr:colOff>
      <xdr:row>70</xdr:row>
      <xdr:rowOff>183173</xdr:rowOff>
    </xdr:to>
    <xdr:pic>
      <xdr:nvPicPr>
        <xdr:cNvPr id="343" name="Picture 2">
          <a:extLst>
            <a:ext uri="{FF2B5EF4-FFF2-40B4-BE49-F238E27FC236}">
              <a16:creationId xmlns:a16="http://schemas.microsoft.com/office/drawing/2014/main" id="{00000000-0008-0000-1000-000057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210425" y="22355175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733425</xdr:colOff>
      <xdr:row>77</xdr:row>
      <xdr:rowOff>85725</xdr:rowOff>
    </xdr:from>
    <xdr:to>
      <xdr:col>20</xdr:col>
      <xdr:colOff>1255395</xdr:colOff>
      <xdr:row>79</xdr:row>
      <xdr:rowOff>123825</xdr:rowOff>
    </xdr:to>
    <xdr:pic>
      <xdr:nvPicPr>
        <xdr:cNvPr id="344" name="Picture 2">
          <a:extLst>
            <a:ext uri="{FF2B5EF4-FFF2-40B4-BE49-F238E27FC236}">
              <a16:creationId xmlns:a16="http://schemas.microsoft.com/office/drawing/2014/main" id="{00000000-0008-0000-1000-000058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867650" y="24107775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704850</xdr:colOff>
      <xdr:row>87</xdr:row>
      <xdr:rowOff>142875</xdr:rowOff>
    </xdr:from>
    <xdr:to>
      <xdr:col>20</xdr:col>
      <xdr:colOff>1167765</xdr:colOff>
      <xdr:row>90</xdr:row>
      <xdr:rowOff>85725</xdr:rowOff>
    </xdr:to>
    <xdr:pic>
      <xdr:nvPicPr>
        <xdr:cNvPr id="345" name="Picture 2">
          <a:extLst>
            <a:ext uri="{FF2B5EF4-FFF2-40B4-BE49-F238E27FC236}">
              <a16:creationId xmlns:a16="http://schemas.microsoft.com/office/drawing/2014/main" id="{00000000-0008-0000-1000-000059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839075" y="26069925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171450</xdr:colOff>
      <xdr:row>94</xdr:row>
      <xdr:rowOff>114300</xdr:rowOff>
    </xdr:from>
    <xdr:to>
      <xdr:col>15</xdr:col>
      <xdr:colOff>164037</xdr:colOff>
      <xdr:row>97</xdr:row>
      <xdr:rowOff>76200</xdr:rowOff>
    </xdr:to>
    <xdr:pic>
      <xdr:nvPicPr>
        <xdr:cNvPr id="346" name="Picture 2">
          <a:extLst>
            <a:ext uri="{FF2B5EF4-FFF2-40B4-BE49-F238E27FC236}">
              <a16:creationId xmlns:a16="http://schemas.microsoft.com/office/drawing/2014/main" id="{00000000-0008-0000-1000-00005A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5857875" y="27374850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723900</xdr:colOff>
      <xdr:row>94</xdr:row>
      <xdr:rowOff>76200</xdr:rowOff>
    </xdr:from>
    <xdr:to>
      <xdr:col>4</xdr:col>
      <xdr:colOff>1162050</xdr:colOff>
      <xdr:row>97</xdr:row>
      <xdr:rowOff>114698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id="{00000000-0008-0000-1000-00005B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466975" y="27336750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485775</xdr:colOff>
      <xdr:row>87</xdr:row>
      <xdr:rowOff>123825</xdr:rowOff>
    </xdr:from>
    <xdr:to>
      <xdr:col>3</xdr:col>
      <xdr:colOff>933450</xdr:colOff>
      <xdr:row>91</xdr:row>
      <xdr:rowOff>8216</xdr:rowOff>
    </xdr:to>
    <xdr:pic>
      <xdr:nvPicPr>
        <xdr:cNvPr id="348" name="Picture 2">
          <a:extLst>
            <a:ext uri="{FF2B5EF4-FFF2-40B4-BE49-F238E27FC236}">
              <a16:creationId xmlns:a16="http://schemas.microsoft.com/office/drawing/2014/main" id="{00000000-0008-0000-1000-00005C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209675" y="26050875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257175</xdr:colOff>
      <xdr:row>77</xdr:row>
      <xdr:rowOff>57150</xdr:rowOff>
    </xdr:from>
    <xdr:to>
      <xdr:col>3</xdr:col>
      <xdr:colOff>756968</xdr:colOff>
      <xdr:row>80</xdr:row>
      <xdr:rowOff>0</xdr:rowOff>
    </xdr:to>
    <xdr:pic>
      <xdr:nvPicPr>
        <xdr:cNvPr id="349" name="Picture 2">
          <a:extLst>
            <a:ext uri="{FF2B5EF4-FFF2-40B4-BE49-F238E27FC236}">
              <a16:creationId xmlns:a16="http://schemas.microsoft.com/office/drawing/2014/main" id="{00000000-0008-0000-1000-00005D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81075" y="24079200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93</xdr:row>
      <xdr:rowOff>0</xdr:rowOff>
    </xdr:from>
    <xdr:to>
      <xdr:col>0</xdr:col>
      <xdr:colOff>390675</xdr:colOff>
      <xdr:row>94</xdr:row>
      <xdr:rowOff>134965</xdr:rowOff>
    </xdr:to>
    <xdr:grpSp>
      <xdr:nvGrpSpPr>
        <xdr:cNvPr id="350" name="Gruppieren 34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000-00005E010000}"/>
            </a:ext>
          </a:extLst>
        </xdr:cNvPr>
        <xdr:cNvGrpSpPr/>
      </xdr:nvGrpSpPr>
      <xdr:grpSpPr>
        <a:xfrm>
          <a:off x="66675" y="26647140"/>
          <a:ext cx="324000" cy="317845"/>
          <a:chOff x="66675" y="4972050"/>
          <a:chExt cx="324000" cy="325465"/>
        </a:xfrm>
      </xdr:grpSpPr>
      <xdr:sp macro="" textlink="">
        <xdr:nvSpPr>
          <xdr:cNvPr id="351" name="Rechteck 350">
            <a:extLst>
              <a:ext uri="{FF2B5EF4-FFF2-40B4-BE49-F238E27FC236}">
                <a16:creationId xmlns:a16="http://schemas.microsoft.com/office/drawing/2014/main" id="{00000000-0008-0000-1000-00005F01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52" name="Pfeil nach oben 351">
            <a:extLst>
              <a:ext uri="{FF2B5EF4-FFF2-40B4-BE49-F238E27FC236}">
                <a16:creationId xmlns:a16="http://schemas.microsoft.com/office/drawing/2014/main" id="{00000000-0008-0000-1000-00006001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</xdr:row>
      <xdr:rowOff>209550</xdr:rowOff>
    </xdr:from>
    <xdr:to>
      <xdr:col>0</xdr:col>
      <xdr:colOff>390675</xdr:colOff>
      <xdr:row>6</xdr:row>
      <xdr:rowOff>1615</xdr:rowOff>
    </xdr:to>
    <xdr:grpSp>
      <xdr:nvGrpSpPr>
        <xdr:cNvPr id="353" name="Gruppieren 352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1000-000061010000}"/>
            </a:ext>
          </a:extLst>
        </xdr:cNvPr>
        <xdr:cNvGrpSpPr/>
      </xdr:nvGrpSpPr>
      <xdr:grpSpPr>
        <a:xfrm>
          <a:off x="66675" y="1489710"/>
          <a:ext cx="324000" cy="317845"/>
          <a:chOff x="12382500" y="2152650"/>
          <a:chExt cx="324000" cy="325465"/>
        </a:xfrm>
      </xdr:grpSpPr>
      <xdr:sp macro="" textlink="">
        <xdr:nvSpPr>
          <xdr:cNvPr id="354" name="Rechteck 353">
            <a:extLst>
              <a:ext uri="{FF2B5EF4-FFF2-40B4-BE49-F238E27FC236}">
                <a16:creationId xmlns:a16="http://schemas.microsoft.com/office/drawing/2014/main" id="{00000000-0008-0000-1000-00006201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55" name="Grafik 354">
            <a:extLst>
              <a:ext uri="{FF2B5EF4-FFF2-40B4-BE49-F238E27FC236}">
                <a16:creationId xmlns:a16="http://schemas.microsoft.com/office/drawing/2014/main" id="{00000000-0008-0000-1000-000063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38</xdr:row>
          <xdr:rowOff>28762</xdr:rowOff>
        </xdr:from>
        <xdr:to>
          <xdr:col>16</xdr:col>
          <xdr:colOff>132301</xdr:colOff>
          <xdr:row>38</xdr:row>
          <xdr:rowOff>213630</xdr:rowOff>
        </xdr:to>
        <xdr:grpSp>
          <xdr:nvGrpSpPr>
            <xdr:cNvPr id="356" name="Gruppieren 355">
              <a:extLst>
                <a:ext uri="{FF2B5EF4-FFF2-40B4-BE49-F238E27FC236}">
                  <a16:creationId xmlns:a16="http://schemas.microsoft.com/office/drawing/2014/main" id="{00000000-0008-0000-1000-000064010000}"/>
                </a:ext>
              </a:extLst>
            </xdr:cNvPr>
            <xdr:cNvGrpSpPr/>
          </xdr:nvGrpSpPr>
          <xdr:grpSpPr>
            <a:xfrm>
              <a:off x="4427413" y="12556042"/>
              <a:ext cx="2341908" cy="184868"/>
              <a:chOff x="3581397" y="2105780"/>
              <a:chExt cx="2247892" cy="276222"/>
            </a:xfrm>
          </xdr:grpSpPr>
          <xdr:sp macro="" textlink="">
            <xdr:nvSpPr>
              <xdr:cNvPr id="39141" name="Group Box 229" hidden="1">
                <a:extLst>
                  <a:ext uri="{63B3BB69-23CF-44E3-9099-C40C66FF867C}">
                    <a14:compatExt spid="_x0000_s39141"/>
                  </a:ext>
                  <a:ext uri="{FF2B5EF4-FFF2-40B4-BE49-F238E27FC236}">
                    <a16:creationId xmlns:a16="http://schemas.microsoft.com/office/drawing/2014/main" id="{00000000-0008-0000-1000-0000E5980000}"/>
                  </a:ext>
                </a:extLst>
              </xdr:cNvPr>
              <xdr:cNvSpPr/>
            </xdr:nvSpPr>
            <xdr:spPr bwMode="auto">
              <a:xfrm>
                <a:off x="3581397" y="2105780"/>
                <a:ext cx="2247892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42" name="Option Button 230" hidden="1">
                <a:extLst>
                  <a:ext uri="{63B3BB69-23CF-44E3-9099-C40C66FF867C}">
                    <a14:compatExt spid="_x0000_s39142"/>
                  </a:ext>
                  <a:ext uri="{FF2B5EF4-FFF2-40B4-BE49-F238E27FC236}">
                    <a16:creationId xmlns:a16="http://schemas.microsoft.com/office/drawing/2014/main" id="{00000000-0008-0000-1000-0000E6980000}"/>
                  </a:ext>
                </a:extLst>
              </xdr:cNvPr>
              <xdr:cNvSpPr/>
            </xdr:nvSpPr>
            <xdr:spPr bwMode="auto">
              <a:xfrm>
                <a:off x="370522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43" name="Option Button 231" hidden="1">
                <a:extLst>
                  <a:ext uri="{63B3BB69-23CF-44E3-9099-C40C66FF867C}">
                    <a14:compatExt spid="_x0000_s39143"/>
                  </a:ext>
                  <a:ext uri="{FF2B5EF4-FFF2-40B4-BE49-F238E27FC236}">
                    <a16:creationId xmlns:a16="http://schemas.microsoft.com/office/drawing/2014/main" id="{00000000-0008-0000-1000-0000E79800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44" name="Option Button 232" hidden="1">
                <a:extLst>
                  <a:ext uri="{63B3BB69-23CF-44E3-9099-C40C66FF867C}">
                    <a14:compatExt spid="_x0000_s39144"/>
                  </a:ext>
                  <a:ext uri="{FF2B5EF4-FFF2-40B4-BE49-F238E27FC236}">
                    <a16:creationId xmlns:a16="http://schemas.microsoft.com/office/drawing/2014/main" id="{00000000-0008-0000-1000-0000E8980000}"/>
                  </a:ext>
                </a:extLst>
              </xdr:cNvPr>
              <xdr:cNvSpPr/>
            </xdr:nvSpPr>
            <xdr:spPr bwMode="auto">
              <a:xfrm>
                <a:off x="45815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45" name="Option Button 233" hidden="1">
                <a:extLst>
                  <a:ext uri="{63B3BB69-23CF-44E3-9099-C40C66FF867C}">
                    <a14:compatExt spid="_x0000_s39145"/>
                  </a:ext>
                  <a:ext uri="{FF2B5EF4-FFF2-40B4-BE49-F238E27FC236}">
                    <a16:creationId xmlns:a16="http://schemas.microsoft.com/office/drawing/2014/main" id="{00000000-0008-0000-1000-0000E99800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46" name="Option Button 234" hidden="1">
                <a:extLst>
                  <a:ext uri="{63B3BB69-23CF-44E3-9099-C40C66FF867C}">
                    <a14:compatExt spid="_x0000_s39146"/>
                  </a:ext>
                  <a:ext uri="{FF2B5EF4-FFF2-40B4-BE49-F238E27FC236}">
                    <a16:creationId xmlns:a16="http://schemas.microsoft.com/office/drawing/2014/main" id="{00000000-0008-0000-1000-0000EA980000}"/>
                  </a:ext>
                </a:extLst>
              </xdr:cNvPr>
              <xdr:cNvSpPr/>
            </xdr:nvSpPr>
            <xdr:spPr bwMode="auto">
              <a:xfrm>
                <a:off x="54578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19</xdr:col>
      <xdr:colOff>19050</xdr:colOff>
      <xdr:row>8</xdr:row>
      <xdr:rowOff>47625</xdr:rowOff>
    </xdr:from>
    <xdr:to>
      <xdr:col>21</xdr:col>
      <xdr:colOff>57149</xdr:colOff>
      <xdr:row>13</xdr:row>
      <xdr:rowOff>216175</xdr:rowOff>
    </xdr:to>
    <xdr:graphicFrame macro="">
      <xdr:nvGraphicFramePr>
        <xdr:cNvPr id="363" name="Diagramm 362">
          <a:extLst>
            <a:ext uri="{FF2B5EF4-FFF2-40B4-BE49-F238E27FC236}">
              <a16:creationId xmlns:a16="http://schemas.microsoft.com/office/drawing/2014/main" id="{00000000-0008-0000-1000-00006B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19</xdr:col>
      <xdr:colOff>28575</xdr:colOff>
      <xdr:row>14</xdr:row>
      <xdr:rowOff>47625</xdr:rowOff>
    </xdr:from>
    <xdr:to>
      <xdr:col>21</xdr:col>
      <xdr:colOff>66674</xdr:colOff>
      <xdr:row>18</xdr:row>
      <xdr:rowOff>282850</xdr:rowOff>
    </xdr:to>
    <xdr:graphicFrame macro="">
      <xdr:nvGraphicFramePr>
        <xdr:cNvPr id="364" name="Diagramm 363">
          <a:extLst>
            <a:ext uri="{FF2B5EF4-FFF2-40B4-BE49-F238E27FC236}">
              <a16:creationId xmlns:a16="http://schemas.microsoft.com/office/drawing/2014/main" id="{00000000-0008-0000-1000-00006C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19</xdr:col>
      <xdr:colOff>28575</xdr:colOff>
      <xdr:row>23</xdr:row>
      <xdr:rowOff>19050</xdr:rowOff>
    </xdr:from>
    <xdr:to>
      <xdr:col>21</xdr:col>
      <xdr:colOff>66674</xdr:colOff>
      <xdr:row>27</xdr:row>
      <xdr:rowOff>254275</xdr:rowOff>
    </xdr:to>
    <xdr:graphicFrame macro="">
      <xdr:nvGraphicFramePr>
        <xdr:cNvPr id="365" name="Diagramm 364">
          <a:extLst>
            <a:ext uri="{FF2B5EF4-FFF2-40B4-BE49-F238E27FC236}">
              <a16:creationId xmlns:a16="http://schemas.microsoft.com/office/drawing/2014/main" id="{00000000-0008-0000-1000-00006D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19</xdr:col>
      <xdr:colOff>28575</xdr:colOff>
      <xdr:row>28</xdr:row>
      <xdr:rowOff>9525</xdr:rowOff>
    </xdr:from>
    <xdr:to>
      <xdr:col>21</xdr:col>
      <xdr:colOff>66674</xdr:colOff>
      <xdr:row>32</xdr:row>
      <xdr:rowOff>92350</xdr:rowOff>
    </xdr:to>
    <xdr:graphicFrame macro="">
      <xdr:nvGraphicFramePr>
        <xdr:cNvPr id="366" name="Diagramm 365">
          <a:extLst>
            <a:ext uri="{FF2B5EF4-FFF2-40B4-BE49-F238E27FC236}">
              <a16:creationId xmlns:a16="http://schemas.microsoft.com/office/drawing/2014/main" id="{00000000-0008-0000-1000-00006E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19</xdr:col>
      <xdr:colOff>28575</xdr:colOff>
      <xdr:row>32</xdr:row>
      <xdr:rowOff>9525</xdr:rowOff>
    </xdr:from>
    <xdr:to>
      <xdr:col>21</xdr:col>
      <xdr:colOff>66674</xdr:colOff>
      <xdr:row>36</xdr:row>
      <xdr:rowOff>244750</xdr:rowOff>
    </xdr:to>
    <xdr:graphicFrame macro="">
      <xdr:nvGraphicFramePr>
        <xdr:cNvPr id="367" name="Diagramm 366">
          <a:extLst>
            <a:ext uri="{FF2B5EF4-FFF2-40B4-BE49-F238E27FC236}">
              <a16:creationId xmlns:a16="http://schemas.microsoft.com/office/drawing/2014/main" id="{00000000-0008-0000-1000-00006F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19</xdr:col>
      <xdr:colOff>28575</xdr:colOff>
      <xdr:row>40</xdr:row>
      <xdr:rowOff>0</xdr:rowOff>
    </xdr:from>
    <xdr:to>
      <xdr:col>21</xdr:col>
      <xdr:colOff>66674</xdr:colOff>
      <xdr:row>44</xdr:row>
      <xdr:rowOff>235225</xdr:rowOff>
    </xdr:to>
    <xdr:graphicFrame macro="">
      <xdr:nvGraphicFramePr>
        <xdr:cNvPr id="368" name="Diagramm 367">
          <a:extLst>
            <a:ext uri="{FF2B5EF4-FFF2-40B4-BE49-F238E27FC236}">
              <a16:creationId xmlns:a16="http://schemas.microsoft.com/office/drawing/2014/main" id="{00000000-0008-0000-1000-000070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19</xdr:col>
      <xdr:colOff>28575</xdr:colOff>
      <xdr:row>45</xdr:row>
      <xdr:rowOff>9525</xdr:rowOff>
    </xdr:from>
    <xdr:to>
      <xdr:col>21</xdr:col>
      <xdr:colOff>66674</xdr:colOff>
      <xdr:row>48</xdr:row>
      <xdr:rowOff>644800</xdr:rowOff>
    </xdr:to>
    <xdr:graphicFrame macro="">
      <xdr:nvGraphicFramePr>
        <xdr:cNvPr id="369" name="Diagramm 368">
          <a:extLst>
            <a:ext uri="{FF2B5EF4-FFF2-40B4-BE49-F238E27FC236}">
              <a16:creationId xmlns:a16="http://schemas.microsoft.com/office/drawing/2014/main" id="{00000000-0008-0000-1000-000071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19</xdr:col>
      <xdr:colOff>28575</xdr:colOff>
      <xdr:row>49</xdr:row>
      <xdr:rowOff>19050</xdr:rowOff>
    </xdr:from>
    <xdr:to>
      <xdr:col>21</xdr:col>
      <xdr:colOff>66674</xdr:colOff>
      <xdr:row>53</xdr:row>
      <xdr:rowOff>254275</xdr:rowOff>
    </xdr:to>
    <xdr:graphicFrame macro="">
      <xdr:nvGraphicFramePr>
        <xdr:cNvPr id="370" name="Diagramm 369">
          <a:extLst>
            <a:ext uri="{FF2B5EF4-FFF2-40B4-BE49-F238E27FC236}">
              <a16:creationId xmlns:a16="http://schemas.microsoft.com/office/drawing/2014/main" id="{00000000-0008-0000-1000-000072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 editAs="oneCell">
    <xdr:from>
      <xdr:col>19</xdr:col>
      <xdr:colOff>28575</xdr:colOff>
      <xdr:row>54</xdr:row>
      <xdr:rowOff>0</xdr:rowOff>
    </xdr:from>
    <xdr:to>
      <xdr:col>21</xdr:col>
      <xdr:colOff>66674</xdr:colOff>
      <xdr:row>56</xdr:row>
      <xdr:rowOff>1035325</xdr:rowOff>
    </xdr:to>
    <xdr:graphicFrame macro="">
      <xdr:nvGraphicFramePr>
        <xdr:cNvPr id="371" name="Diagramm 370">
          <a:extLst>
            <a:ext uri="{FF2B5EF4-FFF2-40B4-BE49-F238E27FC236}">
              <a16:creationId xmlns:a16="http://schemas.microsoft.com/office/drawing/2014/main" id="{00000000-0008-0000-1000-000073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19048</xdr:colOff>
      <xdr:row>1</xdr:row>
      <xdr:rowOff>209550</xdr:rowOff>
    </xdr:from>
    <xdr:to>
      <xdr:col>5</xdr:col>
      <xdr:colOff>9524</xdr:colOff>
      <xdr:row>6</xdr:row>
      <xdr:rowOff>85725</xdr:rowOff>
    </xdr:to>
    <xdr:graphicFrame macro="">
      <xdr:nvGraphicFramePr>
        <xdr:cNvPr id="372" name="Diagramm 371">
          <a:extLst>
            <a:ext uri="{FF2B5EF4-FFF2-40B4-BE49-F238E27FC236}">
              <a16:creationId xmlns:a16="http://schemas.microsoft.com/office/drawing/2014/main" id="{00000000-0008-0000-1000-000074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1737360</xdr:colOff>
          <xdr:row>1</xdr:row>
          <xdr:rowOff>60960</xdr:rowOff>
        </xdr:from>
        <xdr:to>
          <xdr:col>21</xdr:col>
          <xdr:colOff>0</xdr:colOff>
          <xdr:row>1</xdr:row>
          <xdr:rowOff>228600</xdr:rowOff>
        </xdr:to>
        <xdr:sp macro="" textlink="">
          <xdr:nvSpPr>
            <xdr:cNvPr id="39147" name="Drop Down 235" hidden="1">
              <a:extLst>
                <a:ext uri="{63B3BB69-23CF-44E3-9099-C40C66FF867C}">
                  <a14:compatExt spid="_x0000_s39147"/>
                </a:ext>
                <a:ext uri="{FF2B5EF4-FFF2-40B4-BE49-F238E27FC236}">
                  <a16:creationId xmlns:a16="http://schemas.microsoft.com/office/drawing/2014/main" id="{00000000-0008-0000-1000-0000EB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327660</xdr:colOff>
          <xdr:row>10</xdr:row>
          <xdr:rowOff>228600</xdr:rowOff>
        </xdr:from>
        <xdr:to>
          <xdr:col>27</xdr:col>
          <xdr:colOff>632460</xdr:colOff>
          <xdr:row>11</xdr:row>
          <xdr:rowOff>30480</xdr:rowOff>
        </xdr:to>
        <xdr:sp macro="" textlink="">
          <xdr:nvSpPr>
            <xdr:cNvPr id="39148" name="Group Box 236" hidden="1">
              <a:extLst>
                <a:ext uri="{63B3BB69-23CF-44E3-9099-C40C66FF867C}">
                  <a14:compatExt spid="_x0000_s39148"/>
                </a:ext>
                <a:ext uri="{FF2B5EF4-FFF2-40B4-BE49-F238E27FC236}">
                  <a16:creationId xmlns:a16="http://schemas.microsoft.com/office/drawing/2014/main" id="{00000000-0008-0000-1000-0000EC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390525</xdr:colOff>
          <xdr:row>0</xdr:row>
          <xdr:rowOff>19050</xdr:rowOff>
        </xdr:from>
        <xdr:to>
          <xdr:col>20</xdr:col>
          <xdr:colOff>2598420</xdr:colOff>
          <xdr:row>0</xdr:row>
          <xdr:rowOff>552450</xdr:rowOff>
        </xdr:to>
        <xdr:pic>
          <xdr:nvPicPr>
            <xdr:cNvPr id="375" name="Grafik 59">
              <a:extLst>
                <a:ext uri="{FF2B5EF4-FFF2-40B4-BE49-F238E27FC236}">
                  <a16:creationId xmlns:a16="http://schemas.microsoft.com/office/drawing/2014/main" id="{00000000-0008-0000-1000-00007701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39169"/>
                </a:ext>
              </a:extLst>
            </xdr:cNvPicPr>
          </xdr:nvPicPr>
          <xdr:blipFill>
            <a:blip xmlns:r="http://schemas.openxmlformats.org/officeDocument/2006/relationships" r:embed="rId26"/>
            <a:srcRect/>
            <a:stretch>
              <a:fillRect/>
            </a:stretch>
          </xdr:blipFill>
          <xdr:spPr bwMode="auto">
            <a:xfrm>
              <a:off x="7524750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11</xdr:row>
          <xdr:rowOff>19141</xdr:rowOff>
        </xdr:from>
        <xdr:to>
          <xdr:col>16</xdr:col>
          <xdr:colOff>76191</xdr:colOff>
          <xdr:row>11</xdr:row>
          <xdr:rowOff>222857</xdr:rowOff>
        </xdr:to>
        <xdr:grpSp>
          <xdr:nvGrpSpPr>
            <xdr:cNvPr id="2" name="Gruppieren 1">
              <a:extLst>
                <a:ext uri="{FF2B5EF4-FFF2-40B4-BE49-F238E27FC236}">
                  <a16:creationId xmlns:a16="http://schemas.microsoft.com/office/drawing/2014/main" id="{00000000-0008-0000-1100-000002000000}"/>
                </a:ext>
              </a:extLst>
            </xdr:cNvPr>
            <xdr:cNvGrpSpPr/>
          </xdr:nvGrpSpPr>
          <xdr:grpSpPr>
            <a:xfrm>
              <a:off x="4417688" y="2655661"/>
              <a:ext cx="2295523" cy="203716"/>
              <a:chOff x="3581237" y="2105148"/>
              <a:chExt cx="2247895" cy="276225"/>
            </a:xfrm>
          </xdr:grpSpPr>
          <xdr:sp macro="" textlink="">
            <xdr:nvSpPr>
              <xdr:cNvPr id="39937" name="Group Box 1" hidden="1">
                <a:extLst>
                  <a:ext uri="{63B3BB69-23CF-44E3-9099-C40C66FF867C}">
                    <a14:compatExt spid="_x0000_s39937"/>
                  </a:ext>
                  <a:ext uri="{FF2B5EF4-FFF2-40B4-BE49-F238E27FC236}">
                    <a16:creationId xmlns:a16="http://schemas.microsoft.com/office/drawing/2014/main" id="{00000000-0008-0000-1100-0000019C0000}"/>
                  </a:ext>
                </a:extLst>
              </xdr:cNvPr>
              <xdr:cNvSpPr/>
            </xdr:nvSpPr>
            <xdr:spPr bwMode="auto">
              <a:xfrm>
                <a:off x="3581237" y="2105148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8" name="Option Button 2" hidden="1">
                <a:extLst>
                  <a:ext uri="{63B3BB69-23CF-44E3-9099-C40C66FF867C}">
                    <a14:compatExt spid="_x0000_s39938"/>
                  </a:ext>
                  <a:ext uri="{FF2B5EF4-FFF2-40B4-BE49-F238E27FC236}">
                    <a16:creationId xmlns:a16="http://schemas.microsoft.com/office/drawing/2014/main" id="{00000000-0008-0000-1100-0000029C0000}"/>
                  </a:ext>
                </a:extLst>
              </xdr:cNvPr>
              <xdr:cNvSpPr/>
            </xdr:nvSpPr>
            <xdr:spPr bwMode="auto">
              <a:xfrm>
                <a:off x="3705226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9" name="Option Button 3" hidden="1">
                <a:extLst>
                  <a:ext uri="{63B3BB69-23CF-44E3-9099-C40C66FF867C}">
                    <a14:compatExt spid="_x0000_s39939"/>
                  </a:ext>
                  <a:ext uri="{FF2B5EF4-FFF2-40B4-BE49-F238E27FC236}">
                    <a16:creationId xmlns:a16="http://schemas.microsoft.com/office/drawing/2014/main" id="{00000000-0008-0000-1100-0000039C0000}"/>
                  </a:ext>
                </a:extLst>
              </xdr:cNvPr>
              <xdr:cNvSpPr/>
            </xdr:nvSpPr>
            <xdr:spPr bwMode="auto">
              <a:xfrm>
                <a:off x="4143376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" name="Option Button 4" hidden="1">
                <a:extLst>
                  <a:ext uri="{63B3BB69-23CF-44E3-9099-C40C66FF867C}">
                    <a14:compatExt spid="_x0000_s39940"/>
                  </a:ext>
                  <a:ext uri="{FF2B5EF4-FFF2-40B4-BE49-F238E27FC236}">
                    <a16:creationId xmlns:a16="http://schemas.microsoft.com/office/drawing/2014/main" id="{00000000-0008-0000-1100-0000049C0000}"/>
                  </a:ext>
                </a:extLst>
              </xdr:cNvPr>
              <xdr:cNvSpPr/>
            </xdr:nvSpPr>
            <xdr:spPr bwMode="auto">
              <a:xfrm>
                <a:off x="4581525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" name="Option Button 5" hidden="1">
                <a:extLst>
                  <a:ext uri="{63B3BB69-23CF-44E3-9099-C40C66FF867C}">
                    <a14:compatExt spid="_x0000_s39941"/>
                  </a:ext>
                  <a:ext uri="{FF2B5EF4-FFF2-40B4-BE49-F238E27FC236}">
                    <a16:creationId xmlns:a16="http://schemas.microsoft.com/office/drawing/2014/main" id="{00000000-0008-0000-1100-0000059C0000}"/>
                  </a:ext>
                </a:extLst>
              </xdr:cNvPr>
              <xdr:cNvSpPr/>
            </xdr:nvSpPr>
            <xdr:spPr bwMode="auto">
              <a:xfrm>
                <a:off x="5019675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" name="Option Button 6" hidden="1">
                <a:extLst>
                  <a:ext uri="{63B3BB69-23CF-44E3-9099-C40C66FF867C}">
                    <a14:compatExt spid="_x0000_s39942"/>
                  </a:ext>
                  <a:ext uri="{FF2B5EF4-FFF2-40B4-BE49-F238E27FC236}">
                    <a16:creationId xmlns:a16="http://schemas.microsoft.com/office/drawing/2014/main" id="{00000000-0008-0000-1100-0000069C0000}"/>
                  </a:ext>
                </a:extLst>
              </xdr:cNvPr>
              <xdr:cNvSpPr/>
            </xdr:nvSpPr>
            <xdr:spPr bwMode="auto">
              <a:xfrm>
                <a:off x="5457824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66677</xdr:colOff>
          <xdr:row>12</xdr:row>
          <xdr:rowOff>28557</xdr:rowOff>
        </xdr:from>
        <xdr:to>
          <xdr:col>16</xdr:col>
          <xdr:colOff>76201</xdr:colOff>
          <xdr:row>12</xdr:row>
          <xdr:rowOff>232265</xdr:rowOff>
        </xdr:to>
        <xdr:grpSp>
          <xdr:nvGrpSpPr>
            <xdr:cNvPr id="9" name="Gruppieren 8">
              <a:extLst>
                <a:ext uri="{FF2B5EF4-FFF2-40B4-BE49-F238E27FC236}">
                  <a16:creationId xmlns:a16="http://schemas.microsoft.com/office/drawing/2014/main" id="{00000000-0008-0000-1100-000009000000}"/>
                </a:ext>
              </a:extLst>
            </xdr:cNvPr>
            <xdr:cNvGrpSpPr/>
          </xdr:nvGrpSpPr>
          <xdr:grpSpPr>
            <a:xfrm>
              <a:off x="4417697" y="3068937"/>
              <a:ext cx="2295524" cy="203708"/>
              <a:chOff x="3581396" y="2104366"/>
              <a:chExt cx="2247900" cy="276223"/>
            </a:xfrm>
          </xdr:grpSpPr>
          <xdr:sp macro="" textlink="">
            <xdr:nvSpPr>
              <xdr:cNvPr id="39943" name="Group Box 7" hidden="1">
                <a:extLst>
                  <a:ext uri="{63B3BB69-23CF-44E3-9099-C40C66FF867C}">
                    <a14:compatExt spid="_x0000_s39943"/>
                  </a:ext>
                  <a:ext uri="{FF2B5EF4-FFF2-40B4-BE49-F238E27FC236}">
                    <a16:creationId xmlns:a16="http://schemas.microsoft.com/office/drawing/2014/main" id="{00000000-0008-0000-1100-0000079C0000}"/>
                  </a:ext>
                </a:extLst>
              </xdr:cNvPr>
              <xdr:cNvSpPr/>
            </xdr:nvSpPr>
            <xdr:spPr bwMode="auto">
              <a:xfrm>
                <a:off x="3581396" y="2104366"/>
                <a:ext cx="2247900" cy="2762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4" name="Option Button 8" hidden="1">
                <a:extLst>
                  <a:ext uri="{63B3BB69-23CF-44E3-9099-C40C66FF867C}">
                    <a14:compatExt spid="_x0000_s39944"/>
                  </a:ext>
                  <a:ext uri="{FF2B5EF4-FFF2-40B4-BE49-F238E27FC236}">
                    <a16:creationId xmlns:a16="http://schemas.microsoft.com/office/drawing/2014/main" id="{00000000-0008-0000-1100-0000089C0000}"/>
                  </a:ext>
                </a:extLst>
              </xdr:cNvPr>
              <xdr:cNvSpPr/>
            </xdr:nvSpPr>
            <xdr:spPr bwMode="auto">
              <a:xfrm>
                <a:off x="37052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" name="Option Button 9" hidden="1">
                <a:extLst>
                  <a:ext uri="{63B3BB69-23CF-44E3-9099-C40C66FF867C}">
                    <a14:compatExt spid="_x0000_s39945"/>
                  </a:ext>
                  <a:ext uri="{FF2B5EF4-FFF2-40B4-BE49-F238E27FC236}">
                    <a16:creationId xmlns:a16="http://schemas.microsoft.com/office/drawing/2014/main" id="{00000000-0008-0000-1100-0000099C0000}"/>
                  </a:ext>
                </a:extLst>
              </xdr:cNvPr>
              <xdr:cNvSpPr/>
            </xdr:nvSpPr>
            <xdr:spPr bwMode="auto">
              <a:xfrm>
                <a:off x="4143374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" name="Option Button 10" hidden="1">
                <a:extLst>
                  <a:ext uri="{63B3BB69-23CF-44E3-9099-C40C66FF867C}">
                    <a14:compatExt spid="_x0000_s39946"/>
                  </a:ext>
                  <a:ext uri="{FF2B5EF4-FFF2-40B4-BE49-F238E27FC236}">
                    <a16:creationId xmlns:a16="http://schemas.microsoft.com/office/drawing/2014/main" id="{00000000-0008-0000-1100-00000A9C0000}"/>
                  </a:ext>
                </a:extLst>
              </xdr:cNvPr>
              <xdr:cNvSpPr/>
            </xdr:nvSpPr>
            <xdr:spPr bwMode="auto">
              <a:xfrm>
                <a:off x="4581526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" name="Option Button 11" hidden="1">
                <a:extLst>
                  <a:ext uri="{63B3BB69-23CF-44E3-9099-C40C66FF867C}">
                    <a14:compatExt spid="_x0000_s39947"/>
                  </a:ext>
                  <a:ext uri="{FF2B5EF4-FFF2-40B4-BE49-F238E27FC236}">
                    <a16:creationId xmlns:a16="http://schemas.microsoft.com/office/drawing/2014/main" id="{00000000-0008-0000-1100-00000B9C0000}"/>
                  </a:ext>
                </a:extLst>
              </xdr:cNvPr>
              <xdr:cNvSpPr/>
            </xdr:nvSpPr>
            <xdr:spPr bwMode="auto">
              <a:xfrm>
                <a:off x="501967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" name="Option Button 12" hidden="1">
                <a:extLst>
                  <a:ext uri="{63B3BB69-23CF-44E3-9099-C40C66FF867C}">
                    <a14:compatExt spid="_x0000_s39948"/>
                  </a:ext>
                  <a:ext uri="{FF2B5EF4-FFF2-40B4-BE49-F238E27FC236}">
                    <a16:creationId xmlns:a16="http://schemas.microsoft.com/office/drawing/2014/main" id="{00000000-0008-0000-1100-00000C9C0000}"/>
                  </a:ext>
                </a:extLst>
              </xdr:cNvPr>
              <xdr:cNvSpPr/>
            </xdr:nvSpPr>
            <xdr:spPr bwMode="auto">
              <a:xfrm>
                <a:off x="54578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12</xdr:row>
          <xdr:rowOff>390633</xdr:rowOff>
        </xdr:from>
        <xdr:to>
          <xdr:col>16</xdr:col>
          <xdr:colOff>76191</xdr:colOff>
          <xdr:row>13</xdr:row>
          <xdr:rowOff>175063</xdr:rowOff>
        </xdr:to>
        <xdr:grpSp>
          <xdr:nvGrpSpPr>
            <xdr:cNvPr id="16" name="Gruppieren 15">
              <a:extLst>
                <a:ext uri="{FF2B5EF4-FFF2-40B4-BE49-F238E27FC236}">
                  <a16:creationId xmlns:a16="http://schemas.microsoft.com/office/drawing/2014/main" id="{00000000-0008-0000-1100-000010000000}"/>
                </a:ext>
              </a:extLst>
            </xdr:cNvPr>
            <xdr:cNvGrpSpPr/>
          </xdr:nvGrpSpPr>
          <xdr:grpSpPr>
            <a:xfrm>
              <a:off x="4417688" y="3431013"/>
              <a:ext cx="2295523" cy="188290"/>
              <a:chOff x="3581237" y="2105164"/>
              <a:chExt cx="2247895" cy="276225"/>
            </a:xfrm>
          </xdr:grpSpPr>
          <xdr:sp macro="" textlink="">
            <xdr:nvSpPr>
              <xdr:cNvPr id="39949" name="Group Box 13" hidden="1">
                <a:extLst>
                  <a:ext uri="{63B3BB69-23CF-44E3-9099-C40C66FF867C}">
                    <a14:compatExt spid="_x0000_s39949"/>
                  </a:ext>
                  <a:ext uri="{FF2B5EF4-FFF2-40B4-BE49-F238E27FC236}">
                    <a16:creationId xmlns:a16="http://schemas.microsoft.com/office/drawing/2014/main" id="{00000000-0008-0000-1100-00000D9C0000}"/>
                  </a:ext>
                </a:extLst>
              </xdr:cNvPr>
              <xdr:cNvSpPr/>
            </xdr:nvSpPr>
            <xdr:spPr bwMode="auto">
              <a:xfrm>
                <a:off x="3581237" y="210516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0" name="Option Button 14" hidden="1">
                <a:extLst>
                  <a:ext uri="{63B3BB69-23CF-44E3-9099-C40C66FF867C}">
                    <a14:compatExt spid="_x0000_s39950"/>
                  </a:ext>
                  <a:ext uri="{FF2B5EF4-FFF2-40B4-BE49-F238E27FC236}">
                    <a16:creationId xmlns:a16="http://schemas.microsoft.com/office/drawing/2014/main" id="{00000000-0008-0000-1100-00000E9C00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" name="Option Button 15" hidden="1">
                <a:extLst>
                  <a:ext uri="{63B3BB69-23CF-44E3-9099-C40C66FF867C}">
                    <a14:compatExt spid="_x0000_s39951"/>
                  </a:ext>
                  <a:ext uri="{FF2B5EF4-FFF2-40B4-BE49-F238E27FC236}">
                    <a16:creationId xmlns:a16="http://schemas.microsoft.com/office/drawing/2014/main" id="{00000000-0008-0000-1100-00000F9C00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" name="Option Button 16" hidden="1">
                <a:extLst>
                  <a:ext uri="{63B3BB69-23CF-44E3-9099-C40C66FF867C}">
                    <a14:compatExt spid="_x0000_s39952"/>
                  </a:ext>
                  <a:ext uri="{FF2B5EF4-FFF2-40B4-BE49-F238E27FC236}">
                    <a16:creationId xmlns:a16="http://schemas.microsoft.com/office/drawing/2014/main" id="{00000000-0008-0000-1100-0000109C00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" name="Option Button 17" hidden="1">
                <a:extLst>
                  <a:ext uri="{63B3BB69-23CF-44E3-9099-C40C66FF867C}">
                    <a14:compatExt spid="_x0000_s39953"/>
                  </a:ext>
                  <a:ext uri="{FF2B5EF4-FFF2-40B4-BE49-F238E27FC236}">
                    <a16:creationId xmlns:a16="http://schemas.microsoft.com/office/drawing/2014/main" id="{00000000-0008-0000-1100-0000119C00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" name="Option Button 18" hidden="1">
                <a:extLst>
                  <a:ext uri="{63B3BB69-23CF-44E3-9099-C40C66FF867C}">
                    <a14:compatExt spid="_x0000_s39954"/>
                  </a:ext>
                  <a:ext uri="{FF2B5EF4-FFF2-40B4-BE49-F238E27FC236}">
                    <a16:creationId xmlns:a16="http://schemas.microsoft.com/office/drawing/2014/main" id="{00000000-0008-0000-1100-0000129C00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29</xdr:row>
          <xdr:rowOff>19022</xdr:rowOff>
        </xdr:from>
        <xdr:to>
          <xdr:col>16</xdr:col>
          <xdr:colOff>76191</xdr:colOff>
          <xdr:row>29</xdr:row>
          <xdr:rowOff>188318</xdr:rowOff>
        </xdr:to>
        <xdr:grpSp>
          <xdr:nvGrpSpPr>
            <xdr:cNvPr id="23" name="Gruppieren 22">
              <a:extLst>
                <a:ext uri="{FF2B5EF4-FFF2-40B4-BE49-F238E27FC236}">
                  <a16:creationId xmlns:a16="http://schemas.microsoft.com/office/drawing/2014/main" id="{00000000-0008-0000-1100-000017000000}"/>
                </a:ext>
              </a:extLst>
            </xdr:cNvPr>
            <xdr:cNvGrpSpPr/>
          </xdr:nvGrpSpPr>
          <xdr:grpSpPr>
            <a:xfrm>
              <a:off x="4417688" y="9406862"/>
              <a:ext cx="2295523" cy="169296"/>
              <a:chOff x="3581236" y="2104681"/>
              <a:chExt cx="2247895" cy="276225"/>
            </a:xfrm>
          </xdr:grpSpPr>
          <xdr:sp macro="" textlink="">
            <xdr:nvSpPr>
              <xdr:cNvPr id="39955" name="Group Box 19" hidden="1">
                <a:extLst>
                  <a:ext uri="{63B3BB69-23CF-44E3-9099-C40C66FF867C}">
                    <a14:compatExt spid="_x0000_s39955"/>
                  </a:ext>
                  <a:ext uri="{FF2B5EF4-FFF2-40B4-BE49-F238E27FC236}">
                    <a16:creationId xmlns:a16="http://schemas.microsoft.com/office/drawing/2014/main" id="{00000000-0008-0000-1100-0000139C0000}"/>
                  </a:ext>
                </a:extLst>
              </xdr:cNvPr>
              <xdr:cNvSpPr/>
            </xdr:nvSpPr>
            <xdr:spPr bwMode="auto">
              <a:xfrm>
                <a:off x="3581236" y="2104681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6" name="Option Button 20" hidden="1">
                <a:extLst>
                  <a:ext uri="{63B3BB69-23CF-44E3-9099-C40C66FF867C}">
                    <a14:compatExt spid="_x0000_s39956"/>
                  </a:ext>
                  <a:ext uri="{FF2B5EF4-FFF2-40B4-BE49-F238E27FC236}">
                    <a16:creationId xmlns:a16="http://schemas.microsoft.com/office/drawing/2014/main" id="{00000000-0008-0000-1100-0000149C0000}"/>
                  </a:ext>
                </a:extLst>
              </xdr:cNvPr>
              <xdr:cNvSpPr/>
            </xdr:nvSpPr>
            <xdr:spPr bwMode="auto">
              <a:xfrm>
                <a:off x="3705226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" name="Option Button 21" hidden="1">
                <a:extLst>
                  <a:ext uri="{63B3BB69-23CF-44E3-9099-C40C66FF867C}">
                    <a14:compatExt spid="_x0000_s39957"/>
                  </a:ext>
                  <a:ext uri="{FF2B5EF4-FFF2-40B4-BE49-F238E27FC236}">
                    <a16:creationId xmlns:a16="http://schemas.microsoft.com/office/drawing/2014/main" id="{00000000-0008-0000-1100-0000159C0000}"/>
                  </a:ext>
                </a:extLst>
              </xdr:cNvPr>
              <xdr:cNvSpPr/>
            </xdr:nvSpPr>
            <xdr:spPr bwMode="auto">
              <a:xfrm>
                <a:off x="4143376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" name="Option Button 22" hidden="1">
                <a:extLst>
                  <a:ext uri="{63B3BB69-23CF-44E3-9099-C40C66FF867C}">
                    <a14:compatExt spid="_x0000_s39958"/>
                  </a:ext>
                  <a:ext uri="{FF2B5EF4-FFF2-40B4-BE49-F238E27FC236}">
                    <a16:creationId xmlns:a16="http://schemas.microsoft.com/office/drawing/2014/main" id="{00000000-0008-0000-1100-0000169C0000}"/>
                  </a:ext>
                </a:extLst>
              </xdr:cNvPr>
              <xdr:cNvSpPr/>
            </xdr:nvSpPr>
            <xdr:spPr bwMode="auto">
              <a:xfrm>
                <a:off x="4581525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" name="Option Button 23" hidden="1">
                <a:extLst>
                  <a:ext uri="{63B3BB69-23CF-44E3-9099-C40C66FF867C}">
                    <a14:compatExt spid="_x0000_s39959"/>
                  </a:ext>
                  <a:ext uri="{FF2B5EF4-FFF2-40B4-BE49-F238E27FC236}">
                    <a16:creationId xmlns:a16="http://schemas.microsoft.com/office/drawing/2014/main" id="{00000000-0008-0000-1100-0000179C0000}"/>
                  </a:ext>
                </a:extLst>
              </xdr:cNvPr>
              <xdr:cNvSpPr/>
            </xdr:nvSpPr>
            <xdr:spPr bwMode="auto">
              <a:xfrm>
                <a:off x="5019675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" name="Option Button 24" hidden="1">
                <a:extLst>
                  <a:ext uri="{63B3BB69-23CF-44E3-9099-C40C66FF867C}">
                    <a14:compatExt spid="_x0000_s39960"/>
                  </a:ext>
                  <a:ext uri="{FF2B5EF4-FFF2-40B4-BE49-F238E27FC236}">
                    <a16:creationId xmlns:a16="http://schemas.microsoft.com/office/drawing/2014/main" id="{00000000-0008-0000-1100-0000189C0000}"/>
                  </a:ext>
                </a:extLst>
              </xdr:cNvPr>
              <xdr:cNvSpPr/>
            </xdr:nvSpPr>
            <xdr:spPr bwMode="auto">
              <a:xfrm>
                <a:off x="5457824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10</xdr:row>
          <xdr:rowOff>18948</xdr:rowOff>
        </xdr:from>
        <xdr:to>
          <xdr:col>16</xdr:col>
          <xdr:colOff>66674</xdr:colOff>
          <xdr:row>10</xdr:row>
          <xdr:rowOff>222089</xdr:rowOff>
        </xdr:to>
        <xdr:grpSp>
          <xdr:nvGrpSpPr>
            <xdr:cNvPr id="30" name="Gruppieren 29">
              <a:extLst>
                <a:ext uri="{FF2B5EF4-FFF2-40B4-BE49-F238E27FC236}">
                  <a16:creationId xmlns:a16="http://schemas.microsoft.com/office/drawing/2014/main" id="{00000000-0008-0000-1100-00001E000000}"/>
                </a:ext>
              </a:extLst>
            </xdr:cNvPr>
            <xdr:cNvGrpSpPr/>
          </xdr:nvGrpSpPr>
          <xdr:grpSpPr>
            <a:xfrm>
              <a:off x="4408170" y="2259228"/>
              <a:ext cx="2295524" cy="203141"/>
              <a:chOff x="3581394" y="2104545"/>
              <a:chExt cx="2247900" cy="276226"/>
            </a:xfrm>
          </xdr:grpSpPr>
          <xdr:sp macro="" textlink="">
            <xdr:nvSpPr>
              <xdr:cNvPr id="39961" name="Group Box 25" hidden="1">
                <a:extLst>
                  <a:ext uri="{63B3BB69-23CF-44E3-9099-C40C66FF867C}">
                    <a14:compatExt spid="_x0000_s39961"/>
                  </a:ext>
                  <a:ext uri="{FF2B5EF4-FFF2-40B4-BE49-F238E27FC236}">
                    <a16:creationId xmlns:a16="http://schemas.microsoft.com/office/drawing/2014/main" id="{00000000-0008-0000-1100-0000199C0000}"/>
                  </a:ext>
                </a:extLst>
              </xdr:cNvPr>
              <xdr:cNvSpPr/>
            </xdr:nvSpPr>
            <xdr:spPr bwMode="auto">
              <a:xfrm>
                <a:off x="3581394" y="2104545"/>
                <a:ext cx="2247900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2" name="Option Button 26" hidden="1">
                <a:extLst>
                  <a:ext uri="{63B3BB69-23CF-44E3-9099-C40C66FF867C}">
                    <a14:compatExt spid="_x0000_s39962"/>
                  </a:ext>
                  <a:ext uri="{FF2B5EF4-FFF2-40B4-BE49-F238E27FC236}">
                    <a16:creationId xmlns:a16="http://schemas.microsoft.com/office/drawing/2014/main" id="{00000000-0008-0000-1100-00001A9C0000}"/>
                  </a:ext>
                </a:extLst>
              </xdr:cNvPr>
              <xdr:cNvSpPr/>
            </xdr:nvSpPr>
            <xdr:spPr bwMode="auto">
              <a:xfrm>
                <a:off x="3705225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" name="Option Button 27" hidden="1">
                <a:extLst>
                  <a:ext uri="{63B3BB69-23CF-44E3-9099-C40C66FF867C}">
                    <a14:compatExt spid="_x0000_s39963"/>
                  </a:ext>
                  <a:ext uri="{FF2B5EF4-FFF2-40B4-BE49-F238E27FC236}">
                    <a16:creationId xmlns:a16="http://schemas.microsoft.com/office/drawing/2014/main" id="{00000000-0008-0000-1100-00001B9C0000}"/>
                  </a:ext>
                </a:extLst>
              </xdr:cNvPr>
              <xdr:cNvSpPr/>
            </xdr:nvSpPr>
            <xdr:spPr bwMode="auto">
              <a:xfrm>
                <a:off x="4143376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" name="Option Button 28" hidden="1">
                <a:extLst>
                  <a:ext uri="{63B3BB69-23CF-44E3-9099-C40C66FF867C}">
                    <a14:compatExt spid="_x0000_s39964"/>
                  </a:ext>
                  <a:ext uri="{FF2B5EF4-FFF2-40B4-BE49-F238E27FC236}">
                    <a16:creationId xmlns:a16="http://schemas.microsoft.com/office/drawing/2014/main" id="{00000000-0008-0000-1100-00001C9C0000}"/>
                  </a:ext>
                </a:extLst>
              </xdr:cNvPr>
              <xdr:cNvSpPr/>
            </xdr:nvSpPr>
            <xdr:spPr bwMode="auto">
              <a:xfrm>
                <a:off x="4581526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" name="Option Button 29" hidden="1">
                <a:extLst>
                  <a:ext uri="{63B3BB69-23CF-44E3-9099-C40C66FF867C}">
                    <a14:compatExt spid="_x0000_s39965"/>
                  </a:ext>
                  <a:ext uri="{FF2B5EF4-FFF2-40B4-BE49-F238E27FC236}">
                    <a16:creationId xmlns:a16="http://schemas.microsoft.com/office/drawing/2014/main" id="{00000000-0008-0000-1100-00001D9C0000}"/>
                  </a:ext>
                </a:extLst>
              </xdr:cNvPr>
              <xdr:cNvSpPr/>
            </xdr:nvSpPr>
            <xdr:spPr bwMode="auto">
              <a:xfrm>
                <a:off x="5019673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" name="Option Button 30" hidden="1">
                <a:extLst>
                  <a:ext uri="{63B3BB69-23CF-44E3-9099-C40C66FF867C}">
                    <a14:compatExt spid="_x0000_s39966"/>
                  </a:ext>
                  <a:ext uri="{FF2B5EF4-FFF2-40B4-BE49-F238E27FC236}">
                    <a16:creationId xmlns:a16="http://schemas.microsoft.com/office/drawing/2014/main" id="{00000000-0008-0000-1100-00001E9C0000}"/>
                  </a:ext>
                </a:extLst>
              </xdr:cNvPr>
              <xdr:cNvSpPr/>
            </xdr:nvSpPr>
            <xdr:spPr bwMode="auto">
              <a:xfrm>
                <a:off x="5457824" y="215266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20</xdr:col>
      <xdr:colOff>1485900</xdr:colOff>
      <xdr:row>1</xdr:row>
      <xdr:rowOff>57150</xdr:rowOff>
    </xdr:from>
    <xdr:to>
      <xdr:col>20</xdr:col>
      <xdr:colOff>1658700</xdr:colOff>
      <xdr:row>1</xdr:row>
      <xdr:rowOff>229950</xdr:rowOff>
    </xdr:to>
    <xdr:grpSp>
      <xdr:nvGrpSpPr>
        <xdr:cNvPr id="37" name="Gruppieren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25000000}"/>
            </a:ext>
          </a:extLst>
        </xdr:cNvPr>
        <xdr:cNvGrpSpPr/>
      </xdr:nvGrpSpPr>
      <xdr:grpSpPr>
        <a:xfrm>
          <a:off x="8656320" y="628650"/>
          <a:ext cx="172800" cy="172800"/>
          <a:chOff x="8105775" y="571500"/>
          <a:chExt cx="172800" cy="172800"/>
        </a:xfrm>
      </xdr:grpSpPr>
      <xdr:sp macro="" textlink="">
        <xdr:nvSpPr>
          <xdr:cNvPr id="38" name="Rechteck 37">
            <a:extLst>
              <a:ext uri="{FF2B5EF4-FFF2-40B4-BE49-F238E27FC236}">
                <a16:creationId xmlns:a16="http://schemas.microsoft.com/office/drawing/2014/main" id="{00000000-0008-0000-1100-00002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9" name="Textfeld 38">
            <a:extLst>
              <a:ext uri="{FF2B5EF4-FFF2-40B4-BE49-F238E27FC236}">
                <a16:creationId xmlns:a16="http://schemas.microsoft.com/office/drawing/2014/main" id="{00000000-0008-0000-1100-000027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19050</xdr:colOff>
      <xdr:row>7</xdr:row>
      <xdr:rowOff>38100</xdr:rowOff>
    </xdr:from>
    <xdr:to>
      <xdr:col>1</xdr:col>
      <xdr:colOff>44282</xdr:colOff>
      <xdr:row>10</xdr:row>
      <xdr:rowOff>171450</xdr:rowOff>
    </xdr:to>
    <xdr:pic>
      <xdr:nvPicPr>
        <xdr:cNvPr id="40" name="Picture 2">
          <a:extLst>
            <a:ext uri="{FF2B5EF4-FFF2-40B4-BE49-F238E27FC236}">
              <a16:creationId xmlns:a16="http://schemas.microsoft.com/office/drawing/2014/main" id="{00000000-0008-0000-1100-00002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9050" y="1876425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</xdr:colOff>
      <xdr:row>16</xdr:row>
      <xdr:rowOff>200026</xdr:rowOff>
    </xdr:from>
    <xdr:to>
      <xdr:col>0</xdr:col>
      <xdr:colOff>447675</xdr:colOff>
      <xdr:row>18</xdr:row>
      <xdr:rowOff>116499</xdr:rowOff>
    </xdr:to>
    <xdr:pic>
      <xdr:nvPicPr>
        <xdr:cNvPr id="41" name="Picture 2">
          <a:extLst>
            <a:ext uri="{FF2B5EF4-FFF2-40B4-BE49-F238E27FC236}">
              <a16:creationId xmlns:a16="http://schemas.microsoft.com/office/drawing/2014/main" id="{00000000-0008-0000-1100-00002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9050" y="4762501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23</xdr:row>
          <xdr:rowOff>19116</xdr:rowOff>
        </xdr:from>
        <xdr:to>
          <xdr:col>16</xdr:col>
          <xdr:colOff>76191</xdr:colOff>
          <xdr:row>23</xdr:row>
          <xdr:rowOff>213121</xdr:rowOff>
        </xdr:to>
        <xdr:grpSp>
          <xdr:nvGrpSpPr>
            <xdr:cNvPr id="42" name="Gruppieren 41">
              <a:extLst>
                <a:ext uri="{FF2B5EF4-FFF2-40B4-BE49-F238E27FC236}">
                  <a16:creationId xmlns:a16="http://schemas.microsoft.com/office/drawing/2014/main" id="{00000000-0008-0000-1100-00002A000000}"/>
                </a:ext>
              </a:extLst>
            </xdr:cNvPr>
            <xdr:cNvGrpSpPr/>
          </xdr:nvGrpSpPr>
          <xdr:grpSpPr>
            <a:xfrm>
              <a:off x="4417688" y="7227636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39967" name="Group Box 31" hidden="1">
                <a:extLst>
                  <a:ext uri="{63B3BB69-23CF-44E3-9099-C40C66FF867C}">
                    <a14:compatExt spid="_x0000_s39967"/>
                  </a:ext>
                  <a:ext uri="{FF2B5EF4-FFF2-40B4-BE49-F238E27FC236}">
                    <a16:creationId xmlns:a16="http://schemas.microsoft.com/office/drawing/2014/main" id="{00000000-0008-0000-1100-00001F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8" name="Option Button 32" hidden="1">
                <a:extLst>
                  <a:ext uri="{63B3BB69-23CF-44E3-9099-C40C66FF867C}">
                    <a14:compatExt spid="_x0000_s39968"/>
                  </a:ext>
                  <a:ext uri="{FF2B5EF4-FFF2-40B4-BE49-F238E27FC236}">
                    <a16:creationId xmlns:a16="http://schemas.microsoft.com/office/drawing/2014/main" id="{00000000-0008-0000-1100-000020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" name="Option Button 33" hidden="1">
                <a:extLst>
                  <a:ext uri="{63B3BB69-23CF-44E3-9099-C40C66FF867C}">
                    <a14:compatExt spid="_x0000_s39969"/>
                  </a:ext>
                  <a:ext uri="{FF2B5EF4-FFF2-40B4-BE49-F238E27FC236}">
                    <a16:creationId xmlns:a16="http://schemas.microsoft.com/office/drawing/2014/main" id="{00000000-0008-0000-1100-000021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" name="Option Button 34" hidden="1">
                <a:extLst>
                  <a:ext uri="{63B3BB69-23CF-44E3-9099-C40C66FF867C}">
                    <a14:compatExt spid="_x0000_s39970"/>
                  </a:ext>
                  <a:ext uri="{FF2B5EF4-FFF2-40B4-BE49-F238E27FC236}">
                    <a16:creationId xmlns:a16="http://schemas.microsoft.com/office/drawing/2014/main" id="{00000000-0008-0000-1100-000022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1" name="Option Button 35" hidden="1">
                <a:extLst>
                  <a:ext uri="{63B3BB69-23CF-44E3-9099-C40C66FF867C}">
                    <a14:compatExt spid="_x0000_s39971"/>
                  </a:ext>
                  <a:ext uri="{FF2B5EF4-FFF2-40B4-BE49-F238E27FC236}">
                    <a16:creationId xmlns:a16="http://schemas.microsoft.com/office/drawing/2014/main" id="{00000000-0008-0000-1100-000023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2" name="Option Button 36" hidden="1">
                <a:extLst>
                  <a:ext uri="{63B3BB69-23CF-44E3-9099-C40C66FF867C}">
                    <a14:compatExt spid="_x0000_s39972"/>
                  </a:ext>
                  <a:ext uri="{FF2B5EF4-FFF2-40B4-BE49-F238E27FC236}">
                    <a16:creationId xmlns:a16="http://schemas.microsoft.com/office/drawing/2014/main" id="{00000000-0008-0000-1100-000024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24</xdr:row>
          <xdr:rowOff>9591</xdr:rowOff>
        </xdr:from>
        <xdr:to>
          <xdr:col>16</xdr:col>
          <xdr:colOff>76191</xdr:colOff>
          <xdr:row>24</xdr:row>
          <xdr:rowOff>203596</xdr:rowOff>
        </xdr:to>
        <xdr:grpSp>
          <xdr:nvGrpSpPr>
            <xdr:cNvPr id="49" name="Gruppieren 48">
              <a:extLst>
                <a:ext uri="{FF2B5EF4-FFF2-40B4-BE49-F238E27FC236}">
                  <a16:creationId xmlns:a16="http://schemas.microsoft.com/office/drawing/2014/main" id="{00000000-0008-0000-1100-000031000000}"/>
                </a:ext>
              </a:extLst>
            </xdr:cNvPr>
            <xdr:cNvGrpSpPr/>
          </xdr:nvGrpSpPr>
          <xdr:grpSpPr>
            <a:xfrm>
              <a:off x="4417688" y="761435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39973" name="Group Box 37" hidden="1">
                <a:extLst>
                  <a:ext uri="{63B3BB69-23CF-44E3-9099-C40C66FF867C}">
                    <a14:compatExt spid="_x0000_s39973"/>
                  </a:ext>
                  <a:ext uri="{FF2B5EF4-FFF2-40B4-BE49-F238E27FC236}">
                    <a16:creationId xmlns:a16="http://schemas.microsoft.com/office/drawing/2014/main" id="{00000000-0008-0000-1100-000025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74" name="Option Button 38" hidden="1">
                <a:extLst>
                  <a:ext uri="{63B3BB69-23CF-44E3-9099-C40C66FF867C}">
                    <a14:compatExt spid="_x0000_s39974"/>
                  </a:ext>
                  <a:ext uri="{FF2B5EF4-FFF2-40B4-BE49-F238E27FC236}">
                    <a16:creationId xmlns:a16="http://schemas.microsoft.com/office/drawing/2014/main" id="{00000000-0008-0000-1100-000026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5" name="Option Button 39" hidden="1">
                <a:extLst>
                  <a:ext uri="{63B3BB69-23CF-44E3-9099-C40C66FF867C}">
                    <a14:compatExt spid="_x0000_s39975"/>
                  </a:ext>
                  <a:ext uri="{FF2B5EF4-FFF2-40B4-BE49-F238E27FC236}">
                    <a16:creationId xmlns:a16="http://schemas.microsoft.com/office/drawing/2014/main" id="{00000000-0008-0000-1100-000027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6" name="Option Button 40" hidden="1">
                <a:extLst>
                  <a:ext uri="{63B3BB69-23CF-44E3-9099-C40C66FF867C}">
                    <a14:compatExt spid="_x0000_s39976"/>
                  </a:ext>
                  <a:ext uri="{FF2B5EF4-FFF2-40B4-BE49-F238E27FC236}">
                    <a16:creationId xmlns:a16="http://schemas.microsoft.com/office/drawing/2014/main" id="{00000000-0008-0000-1100-000028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7" name="Option Button 41" hidden="1">
                <a:extLst>
                  <a:ext uri="{63B3BB69-23CF-44E3-9099-C40C66FF867C}">
                    <a14:compatExt spid="_x0000_s39977"/>
                  </a:ext>
                  <a:ext uri="{FF2B5EF4-FFF2-40B4-BE49-F238E27FC236}">
                    <a16:creationId xmlns:a16="http://schemas.microsoft.com/office/drawing/2014/main" id="{00000000-0008-0000-1100-000029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8" name="Option Button 42" hidden="1">
                <a:extLst>
                  <a:ext uri="{63B3BB69-23CF-44E3-9099-C40C66FF867C}">
                    <a14:compatExt spid="_x0000_s39978"/>
                  </a:ext>
                  <a:ext uri="{FF2B5EF4-FFF2-40B4-BE49-F238E27FC236}">
                    <a16:creationId xmlns:a16="http://schemas.microsoft.com/office/drawing/2014/main" id="{00000000-0008-0000-1100-00002A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25</xdr:row>
          <xdr:rowOff>9591</xdr:rowOff>
        </xdr:from>
        <xdr:to>
          <xdr:col>16</xdr:col>
          <xdr:colOff>76191</xdr:colOff>
          <xdr:row>25</xdr:row>
          <xdr:rowOff>203596</xdr:rowOff>
        </xdr:to>
        <xdr:grpSp>
          <xdr:nvGrpSpPr>
            <xdr:cNvPr id="56" name="Gruppieren 55">
              <a:extLst>
                <a:ext uri="{FF2B5EF4-FFF2-40B4-BE49-F238E27FC236}">
                  <a16:creationId xmlns:a16="http://schemas.microsoft.com/office/drawing/2014/main" id="{00000000-0008-0000-1100-000038000000}"/>
                </a:ext>
              </a:extLst>
            </xdr:cNvPr>
            <xdr:cNvGrpSpPr/>
          </xdr:nvGrpSpPr>
          <xdr:grpSpPr>
            <a:xfrm>
              <a:off x="4417688" y="801059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39979" name="Group Box 43" hidden="1">
                <a:extLst>
                  <a:ext uri="{63B3BB69-23CF-44E3-9099-C40C66FF867C}">
                    <a14:compatExt spid="_x0000_s39979"/>
                  </a:ext>
                  <a:ext uri="{FF2B5EF4-FFF2-40B4-BE49-F238E27FC236}">
                    <a16:creationId xmlns:a16="http://schemas.microsoft.com/office/drawing/2014/main" id="{00000000-0008-0000-1100-00002B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80" name="Option Button 44" hidden="1">
                <a:extLst>
                  <a:ext uri="{63B3BB69-23CF-44E3-9099-C40C66FF867C}">
                    <a14:compatExt spid="_x0000_s39980"/>
                  </a:ext>
                  <a:ext uri="{FF2B5EF4-FFF2-40B4-BE49-F238E27FC236}">
                    <a16:creationId xmlns:a16="http://schemas.microsoft.com/office/drawing/2014/main" id="{00000000-0008-0000-1100-00002C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1" name="Option Button 45" hidden="1">
                <a:extLst>
                  <a:ext uri="{63B3BB69-23CF-44E3-9099-C40C66FF867C}">
                    <a14:compatExt spid="_x0000_s39981"/>
                  </a:ext>
                  <a:ext uri="{FF2B5EF4-FFF2-40B4-BE49-F238E27FC236}">
                    <a16:creationId xmlns:a16="http://schemas.microsoft.com/office/drawing/2014/main" id="{00000000-0008-0000-1100-00002D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2" name="Option Button 46" hidden="1">
                <a:extLst>
                  <a:ext uri="{63B3BB69-23CF-44E3-9099-C40C66FF867C}">
                    <a14:compatExt spid="_x0000_s39982"/>
                  </a:ext>
                  <a:ext uri="{FF2B5EF4-FFF2-40B4-BE49-F238E27FC236}">
                    <a16:creationId xmlns:a16="http://schemas.microsoft.com/office/drawing/2014/main" id="{00000000-0008-0000-1100-00002E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3" name="Option Button 47" hidden="1">
                <a:extLst>
                  <a:ext uri="{63B3BB69-23CF-44E3-9099-C40C66FF867C}">
                    <a14:compatExt spid="_x0000_s39983"/>
                  </a:ext>
                  <a:ext uri="{FF2B5EF4-FFF2-40B4-BE49-F238E27FC236}">
                    <a16:creationId xmlns:a16="http://schemas.microsoft.com/office/drawing/2014/main" id="{00000000-0008-0000-1100-00002F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4" name="Option Button 48" hidden="1">
                <a:extLst>
                  <a:ext uri="{63B3BB69-23CF-44E3-9099-C40C66FF867C}">
                    <a14:compatExt spid="_x0000_s39984"/>
                  </a:ext>
                  <a:ext uri="{FF2B5EF4-FFF2-40B4-BE49-F238E27FC236}">
                    <a16:creationId xmlns:a16="http://schemas.microsoft.com/office/drawing/2014/main" id="{00000000-0008-0000-1100-000030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25</xdr:row>
      <xdr:rowOff>361951</xdr:rowOff>
    </xdr:from>
    <xdr:to>
      <xdr:col>1</xdr:col>
      <xdr:colOff>55245</xdr:colOff>
      <xdr:row>27</xdr:row>
      <xdr:rowOff>180976</xdr:rowOff>
    </xdr:to>
    <xdr:pic>
      <xdr:nvPicPr>
        <xdr:cNvPr id="63" name="Picture 2">
          <a:extLst>
            <a:ext uri="{FF2B5EF4-FFF2-40B4-BE49-F238E27FC236}">
              <a16:creationId xmlns:a16="http://schemas.microsoft.com/office/drawing/2014/main" id="{00000000-0008-0000-1100-00003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0" y="8324851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30</xdr:row>
      <xdr:rowOff>1</xdr:rowOff>
    </xdr:from>
    <xdr:to>
      <xdr:col>1</xdr:col>
      <xdr:colOff>62865</xdr:colOff>
      <xdr:row>31</xdr:row>
      <xdr:rowOff>314326</xdr:rowOff>
    </xdr:to>
    <xdr:pic>
      <xdr:nvPicPr>
        <xdr:cNvPr id="64" name="Picture 2">
          <a:extLst>
            <a:ext uri="{FF2B5EF4-FFF2-40B4-BE49-F238E27FC236}">
              <a16:creationId xmlns:a16="http://schemas.microsoft.com/office/drawing/2014/main" id="{00000000-0008-0000-1100-00004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6675" y="10515601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39</xdr:row>
      <xdr:rowOff>0</xdr:rowOff>
    </xdr:from>
    <xdr:to>
      <xdr:col>0</xdr:col>
      <xdr:colOff>440263</xdr:colOff>
      <xdr:row>40</xdr:row>
      <xdr:rowOff>152400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id="{00000000-0008-0000-1100-00004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" y="13916025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38</xdr:row>
          <xdr:rowOff>9591</xdr:rowOff>
        </xdr:from>
        <xdr:to>
          <xdr:col>16</xdr:col>
          <xdr:colOff>76191</xdr:colOff>
          <xdr:row>38</xdr:row>
          <xdr:rowOff>203596</xdr:rowOff>
        </xdr:to>
        <xdr:grpSp>
          <xdr:nvGrpSpPr>
            <xdr:cNvPr id="66" name="Gruppieren 65">
              <a:extLst>
                <a:ext uri="{FF2B5EF4-FFF2-40B4-BE49-F238E27FC236}">
                  <a16:creationId xmlns:a16="http://schemas.microsoft.com/office/drawing/2014/main" id="{00000000-0008-0000-1100-000042000000}"/>
                </a:ext>
              </a:extLst>
            </xdr:cNvPr>
            <xdr:cNvGrpSpPr/>
          </xdr:nvGrpSpPr>
          <xdr:grpSpPr>
            <a:xfrm>
              <a:off x="4417688" y="1351985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39985" name="Group Box 49" hidden="1">
                <a:extLst>
                  <a:ext uri="{63B3BB69-23CF-44E3-9099-C40C66FF867C}">
                    <a14:compatExt spid="_x0000_s39985"/>
                  </a:ext>
                  <a:ext uri="{FF2B5EF4-FFF2-40B4-BE49-F238E27FC236}">
                    <a16:creationId xmlns:a16="http://schemas.microsoft.com/office/drawing/2014/main" id="{00000000-0008-0000-1100-000031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86" name="Option Button 50" hidden="1">
                <a:extLst>
                  <a:ext uri="{63B3BB69-23CF-44E3-9099-C40C66FF867C}">
                    <a14:compatExt spid="_x0000_s39986"/>
                  </a:ext>
                  <a:ext uri="{FF2B5EF4-FFF2-40B4-BE49-F238E27FC236}">
                    <a16:creationId xmlns:a16="http://schemas.microsoft.com/office/drawing/2014/main" id="{00000000-0008-0000-1100-000032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7" name="Option Button 51" hidden="1">
                <a:extLst>
                  <a:ext uri="{63B3BB69-23CF-44E3-9099-C40C66FF867C}">
                    <a14:compatExt spid="_x0000_s39987"/>
                  </a:ext>
                  <a:ext uri="{FF2B5EF4-FFF2-40B4-BE49-F238E27FC236}">
                    <a16:creationId xmlns:a16="http://schemas.microsoft.com/office/drawing/2014/main" id="{00000000-0008-0000-1100-000033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8" name="Option Button 52" hidden="1">
                <a:extLst>
                  <a:ext uri="{63B3BB69-23CF-44E3-9099-C40C66FF867C}">
                    <a14:compatExt spid="_x0000_s39988"/>
                  </a:ext>
                  <a:ext uri="{FF2B5EF4-FFF2-40B4-BE49-F238E27FC236}">
                    <a16:creationId xmlns:a16="http://schemas.microsoft.com/office/drawing/2014/main" id="{00000000-0008-0000-1100-000034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9" name="Option Button 53" hidden="1">
                <a:extLst>
                  <a:ext uri="{63B3BB69-23CF-44E3-9099-C40C66FF867C}">
                    <a14:compatExt spid="_x0000_s39989"/>
                  </a:ext>
                  <a:ext uri="{FF2B5EF4-FFF2-40B4-BE49-F238E27FC236}">
                    <a16:creationId xmlns:a16="http://schemas.microsoft.com/office/drawing/2014/main" id="{00000000-0008-0000-1100-000035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90" name="Option Button 54" hidden="1">
                <a:extLst>
                  <a:ext uri="{63B3BB69-23CF-44E3-9099-C40C66FF867C}">
                    <a14:compatExt spid="_x0000_s39990"/>
                  </a:ext>
                  <a:ext uri="{FF2B5EF4-FFF2-40B4-BE49-F238E27FC236}">
                    <a16:creationId xmlns:a16="http://schemas.microsoft.com/office/drawing/2014/main" id="{00000000-0008-0000-1100-000036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43</xdr:row>
          <xdr:rowOff>19053</xdr:rowOff>
        </xdr:from>
        <xdr:to>
          <xdr:col>16</xdr:col>
          <xdr:colOff>76181</xdr:colOff>
          <xdr:row>43</xdr:row>
          <xdr:rowOff>194786</xdr:rowOff>
        </xdr:to>
        <xdr:grpSp>
          <xdr:nvGrpSpPr>
            <xdr:cNvPr id="73" name="Gruppieren 72">
              <a:extLst>
                <a:ext uri="{FF2B5EF4-FFF2-40B4-BE49-F238E27FC236}">
                  <a16:creationId xmlns:a16="http://schemas.microsoft.com/office/drawing/2014/main" id="{00000000-0008-0000-1100-000049000000}"/>
                </a:ext>
              </a:extLst>
            </xdr:cNvPr>
            <xdr:cNvGrpSpPr/>
          </xdr:nvGrpSpPr>
          <xdr:grpSpPr>
            <a:xfrm>
              <a:off x="4417682" y="15312393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39991" name="Group Box 55" hidden="1">
                <a:extLst>
                  <a:ext uri="{63B3BB69-23CF-44E3-9099-C40C66FF867C}">
                    <a14:compatExt spid="_x0000_s39991"/>
                  </a:ext>
                  <a:ext uri="{FF2B5EF4-FFF2-40B4-BE49-F238E27FC236}">
                    <a16:creationId xmlns:a16="http://schemas.microsoft.com/office/drawing/2014/main" id="{00000000-0008-0000-1100-0000379C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92" name="Option Button 56" hidden="1">
                <a:extLst>
                  <a:ext uri="{63B3BB69-23CF-44E3-9099-C40C66FF867C}">
                    <a14:compatExt spid="_x0000_s39992"/>
                  </a:ext>
                  <a:ext uri="{FF2B5EF4-FFF2-40B4-BE49-F238E27FC236}">
                    <a16:creationId xmlns:a16="http://schemas.microsoft.com/office/drawing/2014/main" id="{00000000-0008-0000-1100-0000389C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93" name="Option Button 57" hidden="1">
                <a:extLst>
                  <a:ext uri="{63B3BB69-23CF-44E3-9099-C40C66FF867C}">
                    <a14:compatExt spid="_x0000_s39993"/>
                  </a:ext>
                  <a:ext uri="{FF2B5EF4-FFF2-40B4-BE49-F238E27FC236}">
                    <a16:creationId xmlns:a16="http://schemas.microsoft.com/office/drawing/2014/main" id="{00000000-0008-0000-1100-0000399C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94" name="Option Button 58" hidden="1">
                <a:extLst>
                  <a:ext uri="{63B3BB69-23CF-44E3-9099-C40C66FF867C}">
                    <a14:compatExt spid="_x0000_s39994"/>
                  </a:ext>
                  <a:ext uri="{FF2B5EF4-FFF2-40B4-BE49-F238E27FC236}">
                    <a16:creationId xmlns:a16="http://schemas.microsoft.com/office/drawing/2014/main" id="{00000000-0008-0000-1100-00003A9C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95" name="Option Button 59" hidden="1">
                <a:extLst>
                  <a:ext uri="{63B3BB69-23CF-44E3-9099-C40C66FF867C}">
                    <a14:compatExt spid="_x0000_s39995"/>
                  </a:ext>
                  <a:ext uri="{FF2B5EF4-FFF2-40B4-BE49-F238E27FC236}">
                    <a16:creationId xmlns:a16="http://schemas.microsoft.com/office/drawing/2014/main" id="{00000000-0008-0000-1100-00003B9C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96" name="Option Button 60" hidden="1">
                <a:extLst>
                  <a:ext uri="{63B3BB69-23CF-44E3-9099-C40C66FF867C}">
                    <a14:compatExt spid="_x0000_s39996"/>
                  </a:ext>
                  <a:ext uri="{FF2B5EF4-FFF2-40B4-BE49-F238E27FC236}">
                    <a16:creationId xmlns:a16="http://schemas.microsoft.com/office/drawing/2014/main" id="{00000000-0008-0000-1100-00003C9C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46</xdr:row>
          <xdr:rowOff>28578</xdr:rowOff>
        </xdr:from>
        <xdr:to>
          <xdr:col>16</xdr:col>
          <xdr:colOff>76181</xdr:colOff>
          <xdr:row>46</xdr:row>
          <xdr:rowOff>204311</xdr:rowOff>
        </xdr:to>
        <xdr:grpSp>
          <xdr:nvGrpSpPr>
            <xdr:cNvPr id="80" name="Gruppieren 79">
              <a:extLst>
                <a:ext uri="{FF2B5EF4-FFF2-40B4-BE49-F238E27FC236}">
                  <a16:creationId xmlns:a16="http://schemas.microsoft.com/office/drawing/2014/main" id="{00000000-0008-0000-1100-000050000000}"/>
                </a:ext>
              </a:extLst>
            </xdr:cNvPr>
            <xdr:cNvGrpSpPr/>
          </xdr:nvGrpSpPr>
          <xdr:grpSpPr>
            <a:xfrm>
              <a:off x="4417682" y="1651063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39997" name="Group Box 61" hidden="1">
                <a:extLst>
                  <a:ext uri="{63B3BB69-23CF-44E3-9099-C40C66FF867C}">
                    <a14:compatExt spid="_x0000_s39997"/>
                  </a:ext>
                  <a:ext uri="{FF2B5EF4-FFF2-40B4-BE49-F238E27FC236}">
                    <a16:creationId xmlns:a16="http://schemas.microsoft.com/office/drawing/2014/main" id="{00000000-0008-0000-1100-00003D9C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98" name="Option Button 62" hidden="1">
                <a:extLst>
                  <a:ext uri="{63B3BB69-23CF-44E3-9099-C40C66FF867C}">
                    <a14:compatExt spid="_x0000_s39998"/>
                  </a:ext>
                  <a:ext uri="{FF2B5EF4-FFF2-40B4-BE49-F238E27FC236}">
                    <a16:creationId xmlns:a16="http://schemas.microsoft.com/office/drawing/2014/main" id="{00000000-0008-0000-1100-00003E9C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99" name="Option Button 63" hidden="1">
                <a:extLst>
                  <a:ext uri="{63B3BB69-23CF-44E3-9099-C40C66FF867C}">
                    <a14:compatExt spid="_x0000_s39999"/>
                  </a:ext>
                  <a:ext uri="{FF2B5EF4-FFF2-40B4-BE49-F238E27FC236}">
                    <a16:creationId xmlns:a16="http://schemas.microsoft.com/office/drawing/2014/main" id="{00000000-0008-0000-1100-00003F9C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0" name="Option Button 64" hidden="1">
                <a:extLst>
                  <a:ext uri="{63B3BB69-23CF-44E3-9099-C40C66FF867C}">
                    <a14:compatExt spid="_x0000_s40000"/>
                  </a:ext>
                  <a:ext uri="{FF2B5EF4-FFF2-40B4-BE49-F238E27FC236}">
                    <a16:creationId xmlns:a16="http://schemas.microsoft.com/office/drawing/2014/main" id="{00000000-0008-0000-1100-0000409C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1" name="Option Button 65" hidden="1">
                <a:extLst>
                  <a:ext uri="{63B3BB69-23CF-44E3-9099-C40C66FF867C}">
                    <a14:compatExt spid="_x0000_s40001"/>
                  </a:ext>
                  <a:ext uri="{FF2B5EF4-FFF2-40B4-BE49-F238E27FC236}">
                    <a16:creationId xmlns:a16="http://schemas.microsoft.com/office/drawing/2014/main" id="{00000000-0008-0000-1100-0000419C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2" name="Option Button 66" hidden="1">
                <a:extLst>
                  <a:ext uri="{63B3BB69-23CF-44E3-9099-C40C66FF867C}">
                    <a14:compatExt spid="_x0000_s40002"/>
                  </a:ext>
                  <a:ext uri="{FF2B5EF4-FFF2-40B4-BE49-F238E27FC236}">
                    <a16:creationId xmlns:a16="http://schemas.microsoft.com/office/drawing/2014/main" id="{00000000-0008-0000-1100-0000429C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28576</xdr:colOff>
      <xdr:row>46</xdr:row>
      <xdr:rowOff>361950</xdr:rowOff>
    </xdr:from>
    <xdr:to>
      <xdr:col>1</xdr:col>
      <xdr:colOff>1</xdr:colOff>
      <xdr:row>48</xdr:row>
      <xdr:rowOff>190898</xdr:rowOff>
    </xdr:to>
    <xdr:pic>
      <xdr:nvPicPr>
        <xdr:cNvPr id="87" name="Picture 2">
          <a:extLst>
            <a:ext uri="{FF2B5EF4-FFF2-40B4-BE49-F238E27FC236}">
              <a16:creationId xmlns:a16="http://schemas.microsoft.com/office/drawing/2014/main" id="{00000000-0008-0000-1100-00005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8576" y="16878300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49</xdr:row>
          <xdr:rowOff>9591</xdr:rowOff>
        </xdr:from>
        <xdr:to>
          <xdr:col>16</xdr:col>
          <xdr:colOff>76191</xdr:colOff>
          <xdr:row>49</xdr:row>
          <xdr:rowOff>203596</xdr:rowOff>
        </xdr:to>
        <xdr:grpSp>
          <xdr:nvGrpSpPr>
            <xdr:cNvPr id="88" name="Gruppieren 87">
              <a:extLst>
                <a:ext uri="{FF2B5EF4-FFF2-40B4-BE49-F238E27FC236}">
                  <a16:creationId xmlns:a16="http://schemas.microsoft.com/office/drawing/2014/main" id="{00000000-0008-0000-1100-000058000000}"/>
                </a:ext>
              </a:extLst>
            </xdr:cNvPr>
            <xdr:cNvGrpSpPr/>
          </xdr:nvGrpSpPr>
          <xdr:grpSpPr>
            <a:xfrm>
              <a:off x="4417688" y="1748225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003" name="Group Box 67" hidden="1">
                <a:extLst>
                  <a:ext uri="{63B3BB69-23CF-44E3-9099-C40C66FF867C}">
                    <a14:compatExt spid="_x0000_s40003"/>
                  </a:ext>
                  <a:ext uri="{FF2B5EF4-FFF2-40B4-BE49-F238E27FC236}">
                    <a16:creationId xmlns:a16="http://schemas.microsoft.com/office/drawing/2014/main" id="{00000000-0008-0000-1100-000043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04" name="Option Button 68" hidden="1">
                <a:extLst>
                  <a:ext uri="{63B3BB69-23CF-44E3-9099-C40C66FF867C}">
                    <a14:compatExt spid="_x0000_s40004"/>
                  </a:ext>
                  <a:ext uri="{FF2B5EF4-FFF2-40B4-BE49-F238E27FC236}">
                    <a16:creationId xmlns:a16="http://schemas.microsoft.com/office/drawing/2014/main" id="{00000000-0008-0000-1100-000044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5" name="Option Button 69" hidden="1">
                <a:extLst>
                  <a:ext uri="{63B3BB69-23CF-44E3-9099-C40C66FF867C}">
                    <a14:compatExt spid="_x0000_s40005"/>
                  </a:ext>
                  <a:ext uri="{FF2B5EF4-FFF2-40B4-BE49-F238E27FC236}">
                    <a16:creationId xmlns:a16="http://schemas.microsoft.com/office/drawing/2014/main" id="{00000000-0008-0000-1100-000045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6" name="Option Button 70" hidden="1">
                <a:extLst>
                  <a:ext uri="{63B3BB69-23CF-44E3-9099-C40C66FF867C}">
                    <a14:compatExt spid="_x0000_s40006"/>
                  </a:ext>
                  <a:ext uri="{FF2B5EF4-FFF2-40B4-BE49-F238E27FC236}">
                    <a16:creationId xmlns:a16="http://schemas.microsoft.com/office/drawing/2014/main" id="{00000000-0008-0000-1100-000046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7" name="Option Button 71" hidden="1">
                <a:extLst>
                  <a:ext uri="{63B3BB69-23CF-44E3-9099-C40C66FF867C}">
                    <a14:compatExt spid="_x0000_s40007"/>
                  </a:ext>
                  <a:ext uri="{FF2B5EF4-FFF2-40B4-BE49-F238E27FC236}">
                    <a16:creationId xmlns:a16="http://schemas.microsoft.com/office/drawing/2014/main" id="{00000000-0008-0000-1100-000047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8" name="Option Button 72" hidden="1">
                <a:extLst>
                  <a:ext uri="{63B3BB69-23CF-44E3-9099-C40C66FF867C}">
                    <a14:compatExt spid="_x0000_s40008"/>
                  </a:ext>
                  <a:ext uri="{FF2B5EF4-FFF2-40B4-BE49-F238E27FC236}">
                    <a16:creationId xmlns:a16="http://schemas.microsoft.com/office/drawing/2014/main" id="{00000000-0008-0000-1100-000048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50</xdr:row>
          <xdr:rowOff>66</xdr:rowOff>
        </xdr:from>
        <xdr:to>
          <xdr:col>16</xdr:col>
          <xdr:colOff>76191</xdr:colOff>
          <xdr:row>50</xdr:row>
          <xdr:rowOff>194071</xdr:rowOff>
        </xdr:to>
        <xdr:grpSp>
          <xdr:nvGrpSpPr>
            <xdr:cNvPr id="95" name="Gruppieren 94">
              <a:extLst>
                <a:ext uri="{FF2B5EF4-FFF2-40B4-BE49-F238E27FC236}">
                  <a16:creationId xmlns:a16="http://schemas.microsoft.com/office/drawing/2014/main" id="{00000000-0008-0000-1100-00005F000000}"/>
                </a:ext>
              </a:extLst>
            </xdr:cNvPr>
            <xdr:cNvGrpSpPr/>
          </xdr:nvGrpSpPr>
          <xdr:grpSpPr>
            <a:xfrm>
              <a:off x="4417688" y="17868966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009" name="Group Box 73" hidden="1">
                <a:extLst>
                  <a:ext uri="{63B3BB69-23CF-44E3-9099-C40C66FF867C}">
                    <a14:compatExt spid="_x0000_s40009"/>
                  </a:ext>
                  <a:ext uri="{FF2B5EF4-FFF2-40B4-BE49-F238E27FC236}">
                    <a16:creationId xmlns:a16="http://schemas.microsoft.com/office/drawing/2014/main" id="{00000000-0008-0000-1100-000049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10" name="Option Button 74" hidden="1">
                <a:extLst>
                  <a:ext uri="{63B3BB69-23CF-44E3-9099-C40C66FF867C}">
                    <a14:compatExt spid="_x0000_s40010"/>
                  </a:ext>
                  <a:ext uri="{FF2B5EF4-FFF2-40B4-BE49-F238E27FC236}">
                    <a16:creationId xmlns:a16="http://schemas.microsoft.com/office/drawing/2014/main" id="{00000000-0008-0000-1100-00004A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1" name="Option Button 75" hidden="1">
                <a:extLst>
                  <a:ext uri="{63B3BB69-23CF-44E3-9099-C40C66FF867C}">
                    <a14:compatExt spid="_x0000_s40011"/>
                  </a:ext>
                  <a:ext uri="{FF2B5EF4-FFF2-40B4-BE49-F238E27FC236}">
                    <a16:creationId xmlns:a16="http://schemas.microsoft.com/office/drawing/2014/main" id="{00000000-0008-0000-1100-00004B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2" name="Option Button 76" hidden="1">
                <a:extLst>
                  <a:ext uri="{63B3BB69-23CF-44E3-9099-C40C66FF867C}">
                    <a14:compatExt spid="_x0000_s40012"/>
                  </a:ext>
                  <a:ext uri="{FF2B5EF4-FFF2-40B4-BE49-F238E27FC236}">
                    <a16:creationId xmlns:a16="http://schemas.microsoft.com/office/drawing/2014/main" id="{00000000-0008-0000-1100-00004C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3" name="Option Button 77" hidden="1">
                <a:extLst>
                  <a:ext uri="{63B3BB69-23CF-44E3-9099-C40C66FF867C}">
                    <a14:compatExt spid="_x0000_s40013"/>
                  </a:ext>
                  <a:ext uri="{FF2B5EF4-FFF2-40B4-BE49-F238E27FC236}">
                    <a16:creationId xmlns:a16="http://schemas.microsoft.com/office/drawing/2014/main" id="{00000000-0008-0000-1100-00004D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4" name="Option Button 78" hidden="1">
                <a:extLst>
                  <a:ext uri="{63B3BB69-23CF-44E3-9099-C40C66FF867C}">
                    <a14:compatExt spid="_x0000_s40014"/>
                  </a:ext>
                  <a:ext uri="{FF2B5EF4-FFF2-40B4-BE49-F238E27FC236}">
                    <a16:creationId xmlns:a16="http://schemas.microsoft.com/office/drawing/2014/main" id="{00000000-0008-0000-1100-00004E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28575</xdr:colOff>
      <xdr:row>54</xdr:row>
      <xdr:rowOff>180975</xdr:rowOff>
    </xdr:from>
    <xdr:to>
      <xdr:col>1</xdr:col>
      <xdr:colOff>9525</xdr:colOff>
      <xdr:row>56</xdr:row>
      <xdr:rowOff>227291</xdr:rowOff>
    </xdr:to>
    <xdr:pic>
      <xdr:nvPicPr>
        <xdr:cNvPr id="102" name="Picture 2">
          <a:extLst>
            <a:ext uri="{FF2B5EF4-FFF2-40B4-BE49-F238E27FC236}">
              <a16:creationId xmlns:a16="http://schemas.microsoft.com/office/drawing/2014/main" id="{00000000-0008-0000-1100-00006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8575" y="19697700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54</xdr:row>
          <xdr:rowOff>9591</xdr:rowOff>
        </xdr:from>
        <xdr:to>
          <xdr:col>16</xdr:col>
          <xdr:colOff>76191</xdr:colOff>
          <xdr:row>54</xdr:row>
          <xdr:rowOff>203596</xdr:rowOff>
        </xdr:to>
        <xdr:grpSp>
          <xdr:nvGrpSpPr>
            <xdr:cNvPr id="103" name="Gruppieren 102">
              <a:extLst>
                <a:ext uri="{FF2B5EF4-FFF2-40B4-BE49-F238E27FC236}">
                  <a16:creationId xmlns:a16="http://schemas.microsoft.com/office/drawing/2014/main" id="{00000000-0008-0000-1100-000067000000}"/>
                </a:ext>
              </a:extLst>
            </xdr:cNvPr>
            <xdr:cNvGrpSpPr/>
          </xdr:nvGrpSpPr>
          <xdr:grpSpPr>
            <a:xfrm>
              <a:off x="4417688" y="1946345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015" name="Group Box 79" hidden="1">
                <a:extLst>
                  <a:ext uri="{63B3BB69-23CF-44E3-9099-C40C66FF867C}">
                    <a14:compatExt spid="_x0000_s40015"/>
                  </a:ext>
                  <a:ext uri="{FF2B5EF4-FFF2-40B4-BE49-F238E27FC236}">
                    <a16:creationId xmlns:a16="http://schemas.microsoft.com/office/drawing/2014/main" id="{00000000-0008-0000-1100-00004F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16" name="Option Button 80" hidden="1">
                <a:extLst>
                  <a:ext uri="{63B3BB69-23CF-44E3-9099-C40C66FF867C}">
                    <a14:compatExt spid="_x0000_s40016"/>
                  </a:ext>
                  <a:ext uri="{FF2B5EF4-FFF2-40B4-BE49-F238E27FC236}">
                    <a16:creationId xmlns:a16="http://schemas.microsoft.com/office/drawing/2014/main" id="{00000000-0008-0000-1100-000050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7" name="Option Button 81" hidden="1">
                <a:extLst>
                  <a:ext uri="{63B3BB69-23CF-44E3-9099-C40C66FF867C}">
                    <a14:compatExt spid="_x0000_s40017"/>
                  </a:ext>
                  <a:ext uri="{FF2B5EF4-FFF2-40B4-BE49-F238E27FC236}">
                    <a16:creationId xmlns:a16="http://schemas.microsoft.com/office/drawing/2014/main" id="{00000000-0008-0000-1100-000051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8" name="Option Button 82" hidden="1">
                <a:extLst>
                  <a:ext uri="{63B3BB69-23CF-44E3-9099-C40C66FF867C}">
                    <a14:compatExt spid="_x0000_s40018"/>
                  </a:ext>
                  <a:ext uri="{FF2B5EF4-FFF2-40B4-BE49-F238E27FC236}">
                    <a16:creationId xmlns:a16="http://schemas.microsoft.com/office/drawing/2014/main" id="{00000000-0008-0000-1100-000052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9" name="Option Button 83" hidden="1">
                <a:extLst>
                  <a:ext uri="{63B3BB69-23CF-44E3-9099-C40C66FF867C}">
                    <a14:compatExt spid="_x0000_s40019"/>
                  </a:ext>
                  <a:ext uri="{FF2B5EF4-FFF2-40B4-BE49-F238E27FC236}">
                    <a16:creationId xmlns:a16="http://schemas.microsoft.com/office/drawing/2014/main" id="{00000000-0008-0000-1100-000053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20" name="Option Button 84" hidden="1">
                <a:extLst>
                  <a:ext uri="{63B3BB69-23CF-44E3-9099-C40C66FF867C}">
                    <a14:compatExt spid="_x0000_s40020"/>
                  </a:ext>
                  <a:ext uri="{FF2B5EF4-FFF2-40B4-BE49-F238E27FC236}">
                    <a16:creationId xmlns:a16="http://schemas.microsoft.com/office/drawing/2014/main" id="{00000000-0008-0000-1100-000054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56</xdr:row>
          <xdr:rowOff>28578</xdr:rowOff>
        </xdr:from>
        <xdr:to>
          <xdr:col>16</xdr:col>
          <xdr:colOff>76181</xdr:colOff>
          <xdr:row>56</xdr:row>
          <xdr:rowOff>204311</xdr:rowOff>
        </xdr:to>
        <xdr:grpSp>
          <xdr:nvGrpSpPr>
            <xdr:cNvPr id="110" name="Gruppieren 109">
              <a:extLst>
                <a:ext uri="{FF2B5EF4-FFF2-40B4-BE49-F238E27FC236}">
                  <a16:creationId xmlns:a16="http://schemas.microsoft.com/office/drawing/2014/main" id="{00000000-0008-0000-1100-00006E000000}"/>
                </a:ext>
              </a:extLst>
            </xdr:cNvPr>
            <xdr:cNvGrpSpPr/>
          </xdr:nvGrpSpPr>
          <xdr:grpSpPr>
            <a:xfrm>
              <a:off x="4417682" y="2007679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021" name="Group Box 85" hidden="1">
                <a:extLst>
                  <a:ext uri="{63B3BB69-23CF-44E3-9099-C40C66FF867C}">
                    <a14:compatExt spid="_x0000_s40021"/>
                  </a:ext>
                  <a:ext uri="{FF2B5EF4-FFF2-40B4-BE49-F238E27FC236}">
                    <a16:creationId xmlns:a16="http://schemas.microsoft.com/office/drawing/2014/main" id="{00000000-0008-0000-1100-0000559C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22" name="Option Button 86" hidden="1">
                <a:extLst>
                  <a:ext uri="{63B3BB69-23CF-44E3-9099-C40C66FF867C}">
                    <a14:compatExt spid="_x0000_s40022"/>
                  </a:ext>
                  <a:ext uri="{FF2B5EF4-FFF2-40B4-BE49-F238E27FC236}">
                    <a16:creationId xmlns:a16="http://schemas.microsoft.com/office/drawing/2014/main" id="{00000000-0008-0000-1100-0000569C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23" name="Option Button 87" hidden="1">
                <a:extLst>
                  <a:ext uri="{63B3BB69-23CF-44E3-9099-C40C66FF867C}">
                    <a14:compatExt spid="_x0000_s40023"/>
                  </a:ext>
                  <a:ext uri="{FF2B5EF4-FFF2-40B4-BE49-F238E27FC236}">
                    <a16:creationId xmlns:a16="http://schemas.microsoft.com/office/drawing/2014/main" id="{00000000-0008-0000-1100-0000579C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24" name="Option Button 88" hidden="1">
                <a:extLst>
                  <a:ext uri="{63B3BB69-23CF-44E3-9099-C40C66FF867C}">
                    <a14:compatExt spid="_x0000_s40024"/>
                  </a:ext>
                  <a:ext uri="{FF2B5EF4-FFF2-40B4-BE49-F238E27FC236}">
                    <a16:creationId xmlns:a16="http://schemas.microsoft.com/office/drawing/2014/main" id="{00000000-0008-0000-1100-0000589C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25" name="Option Button 89" hidden="1">
                <a:extLst>
                  <a:ext uri="{63B3BB69-23CF-44E3-9099-C40C66FF867C}">
                    <a14:compatExt spid="_x0000_s40025"/>
                  </a:ext>
                  <a:ext uri="{FF2B5EF4-FFF2-40B4-BE49-F238E27FC236}">
                    <a16:creationId xmlns:a16="http://schemas.microsoft.com/office/drawing/2014/main" id="{00000000-0008-0000-1100-0000599C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26" name="Option Button 90" hidden="1">
                <a:extLst>
                  <a:ext uri="{63B3BB69-23CF-44E3-9099-C40C66FF867C}">
                    <a14:compatExt spid="_x0000_s40026"/>
                  </a:ext>
                  <a:ext uri="{FF2B5EF4-FFF2-40B4-BE49-F238E27FC236}">
                    <a16:creationId xmlns:a16="http://schemas.microsoft.com/office/drawing/2014/main" id="{00000000-0008-0000-1100-00005A9C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61</xdr:row>
          <xdr:rowOff>28578</xdr:rowOff>
        </xdr:from>
        <xdr:to>
          <xdr:col>16</xdr:col>
          <xdr:colOff>76181</xdr:colOff>
          <xdr:row>61</xdr:row>
          <xdr:rowOff>204311</xdr:rowOff>
        </xdr:to>
        <xdr:grpSp>
          <xdr:nvGrpSpPr>
            <xdr:cNvPr id="117" name="Gruppieren 116">
              <a:extLst>
                <a:ext uri="{FF2B5EF4-FFF2-40B4-BE49-F238E27FC236}">
                  <a16:creationId xmlns:a16="http://schemas.microsoft.com/office/drawing/2014/main" id="{00000000-0008-0000-1100-000075000000}"/>
                </a:ext>
              </a:extLst>
            </xdr:cNvPr>
            <xdr:cNvGrpSpPr/>
          </xdr:nvGrpSpPr>
          <xdr:grpSpPr>
            <a:xfrm>
              <a:off x="4417682" y="2205799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027" name="Group Box 91" hidden="1">
                <a:extLst>
                  <a:ext uri="{63B3BB69-23CF-44E3-9099-C40C66FF867C}">
                    <a14:compatExt spid="_x0000_s40027"/>
                  </a:ext>
                  <a:ext uri="{FF2B5EF4-FFF2-40B4-BE49-F238E27FC236}">
                    <a16:creationId xmlns:a16="http://schemas.microsoft.com/office/drawing/2014/main" id="{00000000-0008-0000-1100-00005B9C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28" name="Option Button 92" hidden="1">
                <a:extLst>
                  <a:ext uri="{63B3BB69-23CF-44E3-9099-C40C66FF867C}">
                    <a14:compatExt spid="_x0000_s40028"/>
                  </a:ext>
                  <a:ext uri="{FF2B5EF4-FFF2-40B4-BE49-F238E27FC236}">
                    <a16:creationId xmlns:a16="http://schemas.microsoft.com/office/drawing/2014/main" id="{00000000-0008-0000-1100-00005C9C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29" name="Option Button 93" hidden="1">
                <a:extLst>
                  <a:ext uri="{63B3BB69-23CF-44E3-9099-C40C66FF867C}">
                    <a14:compatExt spid="_x0000_s40029"/>
                  </a:ext>
                  <a:ext uri="{FF2B5EF4-FFF2-40B4-BE49-F238E27FC236}">
                    <a16:creationId xmlns:a16="http://schemas.microsoft.com/office/drawing/2014/main" id="{00000000-0008-0000-1100-00005D9C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0" name="Option Button 94" hidden="1">
                <a:extLst>
                  <a:ext uri="{63B3BB69-23CF-44E3-9099-C40C66FF867C}">
                    <a14:compatExt spid="_x0000_s40030"/>
                  </a:ext>
                  <a:ext uri="{FF2B5EF4-FFF2-40B4-BE49-F238E27FC236}">
                    <a16:creationId xmlns:a16="http://schemas.microsoft.com/office/drawing/2014/main" id="{00000000-0008-0000-1100-00005E9C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1" name="Option Button 95" hidden="1">
                <a:extLst>
                  <a:ext uri="{63B3BB69-23CF-44E3-9099-C40C66FF867C}">
                    <a14:compatExt spid="_x0000_s40031"/>
                  </a:ext>
                  <a:ext uri="{FF2B5EF4-FFF2-40B4-BE49-F238E27FC236}">
                    <a16:creationId xmlns:a16="http://schemas.microsoft.com/office/drawing/2014/main" id="{00000000-0008-0000-1100-00005F9C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2" name="Option Button 96" hidden="1">
                <a:extLst>
                  <a:ext uri="{63B3BB69-23CF-44E3-9099-C40C66FF867C}">
                    <a14:compatExt spid="_x0000_s40032"/>
                  </a:ext>
                  <a:ext uri="{FF2B5EF4-FFF2-40B4-BE49-F238E27FC236}">
                    <a16:creationId xmlns:a16="http://schemas.microsoft.com/office/drawing/2014/main" id="{00000000-0008-0000-1100-0000609C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61</xdr:row>
      <xdr:rowOff>381001</xdr:rowOff>
    </xdr:from>
    <xdr:to>
      <xdr:col>1</xdr:col>
      <xdr:colOff>33068</xdr:colOff>
      <xdr:row>63</xdr:row>
      <xdr:rowOff>295276</xdr:rowOff>
    </xdr:to>
    <xdr:pic>
      <xdr:nvPicPr>
        <xdr:cNvPr id="124" name="Picture 2">
          <a:extLst>
            <a:ext uri="{FF2B5EF4-FFF2-40B4-BE49-F238E27FC236}">
              <a16:creationId xmlns:a16="http://schemas.microsoft.com/office/drawing/2014/main" id="{00000000-0008-0000-1100-00007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0" y="22498051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68</xdr:row>
      <xdr:rowOff>1</xdr:rowOff>
    </xdr:from>
    <xdr:to>
      <xdr:col>0</xdr:col>
      <xdr:colOff>455237</xdr:colOff>
      <xdr:row>69</xdr:row>
      <xdr:rowOff>161926</xdr:rowOff>
    </xdr:to>
    <xdr:pic>
      <xdr:nvPicPr>
        <xdr:cNvPr id="125" name="Picture 2">
          <a:extLst>
            <a:ext uri="{FF2B5EF4-FFF2-40B4-BE49-F238E27FC236}">
              <a16:creationId xmlns:a16="http://schemas.microsoft.com/office/drawing/2014/main" id="{00000000-0008-0000-1100-00007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" y="24717376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69</xdr:row>
          <xdr:rowOff>28578</xdr:rowOff>
        </xdr:from>
        <xdr:to>
          <xdr:col>16</xdr:col>
          <xdr:colOff>76181</xdr:colOff>
          <xdr:row>69</xdr:row>
          <xdr:rowOff>204311</xdr:rowOff>
        </xdr:to>
        <xdr:grpSp>
          <xdr:nvGrpSpPr>
            <xdr:cNvPr id="126" name="Gruppieren 125">
              <a:extLst>
                <a:ext uri="{FF2B5EF4-FFF2-40B4-BE49-F238E27FC236}">
                  <a16:creationId xmlns:a16="http://schemas.microsoft.com/office/drawing/2014/main" id="{00000000-0008-0000-1100-00007E000000}"/>
                </a:ext>
              </a:extLst>
            </xdr:cNvPr>
            <xdr:cNvGrpSpPr/>
          </xdr:nvGrpSpPr>
          <xdr:grpSpPr>
            <a:xfrm>
              <a:off x="4417682" y="2483167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033" name="Group Box 97" hidden="1">
                <a:extLst>
                  <a:ext uri="{63B3BB69-23CF-44E3-9099-C40C66FF867C}">
                    <a14:compatExt spid="_x0000_s40033"/>
                  </a:ext>
                  <a:ext uri="{FF2B5EF4-FFF2-40B4-BE49-F238E27FC236}">
                    <a16:creationId xmlns:a16="http://schemas.microsoft.com/office/drawing/2014/main" id="{00000000-0008-0000-1100-0000619C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34" name="Option Button 98" hidden="1">
                <a:extLst>
                  <a:ext uri="{63B3BB69-23CF-44E3-9099-C40C66FF867C}">
                    <a14:compatExt spid="_x0000_s40034"/>
                  </a:ext>
                  <a:ext uri="{FF2B5EF4-FFF2-40B4-BE49-F238E27FC236}">
                    <a16:creationId xmlns:a16="http://schemas.microsoft.com/office/drawing/2014/main" id="{00000000-0008-0000-1100-0000629C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5" name="Option Button 99" hidden="1">
                <a:extLst>
                  <a:ext uri="{63B3BB69-23CF-44E3-9099-C40C66FF867C}">
                    <a14:compatExt spid="_x0000_s40035"/>
                  </a:ext>
                  <a:ext uri="{FF2B5EF4-FFF2-40B4-BE49-F238E27FC236}">
                    <a16:creationId xmlns:a16="http://schemas.microsoft.com/office/drawing/2014/main" id="{00000000-0008-0000-1100-0000639C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6" name="Option Button 100" hidden="1">
                <a:extLst>
                  <a:ext uri="{63B3BB69-23CF-44E3-9099-C40C66FF867C}">
                    <a14:compatExt spid="_x0000_s40036"/>
                  </a:ext>
                  <a:ext uri="{FF2B5EF4-FFF2-40B4-BE49-F238E27FC236}">
                    <a16:creationId xmlns:a16="http://schemas.microsoft.com/office/drawing/2014/main" id="{00000000-0008-0000-1100-0000649C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7" name="Option Button 101" hidden="1">
                <a:extLst>
                  <a:ext uri="{63B3BB69-23CF-44E3-9099-C40C66FF867C}">
                    <a14:compatExt spid="_x0000_s40037"/>
                  </a:ext>
                  <a:ext uri="{FF2B5EF4-FFF2-40B4-BE49-F238E27FC236}">
                    <a16:creationId xmlns:a16="http://schemas.microsoft.com/office/drawing/2014/main" id="{00000000-0008-0000-1100-0000659C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8" name="Option Button 102" hidden="1">
                <a:extLst>
                  <a:ext uri="{63B3BB69-23CF-44E3-9099-C40C66FF867C}">
                    <a14:compatExt spid="_x0000_s40038"/>
                  </a:ext>
                  <a:ext uri="{FF2B5EF4-FFF2-40B4-BE49-F238E27FC236}">
                    <a16:creationId xmlns:a16="http://schemas.microsoft.com/office/drawing/2014/main" id="{00000000-0008-0000-1100-0000669C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76</xdr:row>
          <xdr:rowOff>28578</xdr:rowOff>
        </xdr:from>
        <xdr:to>
          <xdr:col>16</xdr:col>
          <xdr:colOff>76181</xdr:colOff>
          <xdr:row>76</xdr:row>
          <xdr:rowOff>204311</xdr:rowOff>
        </xdr:to>
        <xdr:grpSp>
          <xdr:nvGrpSpPr>
            <xdr:cNvPr id="133" name="Gruppieren 132">
              <a:extLst>
                <a:ext uri="{FF2B5EF4-FFF2-40B4-BE49-F238E27FC236}">
                  <a16:creationId xmlns:a16="http://schemas.microsoft.com/office/drawing/2014/main" id="{00000000-0008-0000-1100-000085000000}"/>
                </a:ext>
              </a:extLst>
            </xdr:cNvPr>
            <xdr:cNvGrpSpPr/>
          </xdr:nvGrpSpPr>
          <xdr:grpSpPr>
            <a:xfrm>
              <a:off x="4417682" y="2760535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039" name="Group Box 103" hidden="1">
                <a:extLst>
                  <a:ext uri="{63B3BB69-23CF-44E3-9099-C40C66FF867C}">
                    <a14:compatExt spid="_x0000_s40039"/>
                  </a:ext>
                  <a:ext uri="{FF2B5EF4-FFF2-40B4-BE49-F238E27FC236}">
                    <a16:creationId xmlns:a16="http://schemas.microsoft.com/office/drawing/2014/main" id="{00000000-0008-0000-1100-0000679C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40" name="Option Button 104" hidden="1">
                <a:extLst>
                  <a:ext uri="{63B3BB69-23CF-44E3-9099-C40C66FF867C}">
                    <a14:compatExt spid="_x0000_s40040"/>
                  </a:ext>
                  <a:ext uri="{FF2B5EF4-FFF2-40B4-BE49-F238E27FC236}">
                    <a16:creationId xmlns:a16="http://schemas.microsoft.com/office/drawing/2014/main" id="{00000000-0008-0000-1100-0000689C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1" name="Option Button 105" hidden="1">
                <a:extLst>
                  <a:ext uri="{63B3BB69-23CF-44E3-9099-C40C66FF867C}">
                    <a14:compatExt spid="_x0000_s40041"/>
                  </a:ext>
                  <a:ext uri="{FF2B5EF4-FFF2-40B4-BE49-F238E27FC236}">
                    <a16:creationId xmlns:a16="http://schemas.microsoft.com/office/drawing/2014/main" id="{00000000-0008-0000-1100-0000699C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2" name="Option Button 106" hidden="1">
                <a:extLst>
                  <a:ext uri="{63B3BB69-23CF-44E3-9099-C40C66FF867C}">
                    <a14:compatExt spid="_x0000_s40042"/>
                  </a:ext>
                  <a:ext uri="{FF2B5EF4-FFF2-40B4-BE49-F238E27FC236}">
                    <a16:creationId xmlns:a16="http://schemas.microsoft.com/office/drawing/2014/main" id="{00000000-0008-0000-1100-00006A9C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3" name="Option Button 107" hidden="1">
                <a:extLst>
                  <a:ext uri="{63B3BB69-23CF-44E3-9099-C40C66FF867C}">
                    <a14:compatExt spid="_x0000_s40043"/>
                  </a:ext>
                  <a:ext uri="{FF2B5EF4-FFF2-40B4-BE49-F238E27FC236}">
                    <a16:creationId xmlns:a16="http://schemas.microsoft.com/office/drawing/2014/main" id="{00000000-0008-0000-1100-00006B9C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4" name="Option Button 108" hidden="1">
                <a:extLst>
                  <a:ext uri="{63B3BB69-23CF-44E3-9099-C40C66FF867C}">
                    <a14:compatExt spid="_x0000_s40044"/>
                  </a:ext>
                  <a:ext uri="{FF2B5EF4-FFF2-40B4-BE49-F238E27FC236}">
                    <a16:creationId xmlns:a16="http://schemas.microsoft.com/office/drawing/2014/main" id="{00000000-0008-0000-1100-00006C9C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66675</xdr:colOff>
      <xdr:row>77</xdr:row>
      <xdr:rowOff>0</xdr:rowOff>
    </xdr:from>
    <xdr:to>
      <xdr:col>0</xdr:col>
      <xdr:colOff>390675</xdr:colOff>
      <xdr:row>79</xdr:row>
      <xdr:rowOff>87340</xdr:rowOff>
    </xdr:to>
    <xdr:grpSp>
      <xdr:nvGrpSpPr>
        <xdr:cNvPr id="140" name="Gruppieren 13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100-00008C000000}"/>
            </a:ext>
          </a:extLst>
        </xdr:cNvPr>
        <xdr:cNvGrpSpPr/>
      </xdr:nvGrpSpPr>
      <xdr:grpSpPr>
        <a:xfrm>
          <a:off x="66675" y="27973020"/>
          <a:ext cx="324000" cy="315940"/>
          <a:chOff x="66675" y="4972050"/>
          <a:chExt cx="324000" cy="325465"/>
        </a:xfrm>
      </xdr:grpSpPr>
      <xdr:sp macro="" textlink="">
        <xdr:nvSpPr>
          <xdr:cNvPr id="141" name="Rechteck 140">
            <a:extLst>
              <a:ext uri="{FF2B5EF4-FFF2-40B4-BE49-F238E27FC236}">
                <a16:creationId xmlns:a16="http://schemas.microsoft.com/office/drawing/2014/main" id="{00000000-0008-0000-1100-00008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2" name="Pfeil nach oben 141">
            <a:extLst>
              <a:ext uri="{FF2B5EF4-FFF2-40B4-BE49-F238E27FC236}">
                <a16:creationId xmlns:a16="http://schemas.microsoft.com/office/drawing/2014/main" id="{00000000-0008-0000-1100-00008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143" name="Gruppieren 14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1100-00008F000000}"/>
            </a:ext>
          </a:extLst>
        </xdr:cNvPr>
        <xdr:cNvGrpSpPr/>
      </xdr:nvGrpSpPr>
      <xdr:grpSpPr>
        <a:xfrm>
          <a:off x="66675" y="104775"/>
          <a:ext cx="324000" cy="325465"/>
          <a:chOff x="9191625" y="3009900"/>
          <a:chExt cx="324000" cy="325465"/>
        </a:xfrm>
      </xdr:grpSpPr>
      <xdr:sp macro="" textlink="">
        <xdr:nvSpPr>
          <xdr:cNvPr id="144" name="Rechteck 143">
            <a:extLst>
              <a:ext uri="{FF2B5EF4-FFF2-40B4-BE49-F238E27FC236}">
                <a16:creationId xmlns:a16="http://schemas.microsoft.com/office/drawing/2014/main" id="{00000000-0008-0000-1100-00009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5" name="Pfeil nach links 144">
            <a:extLst>
              <a:ext uri="{FF2B5EF4-FFF2-40B4-BE49-F238E27FC236}">
                <a16:creationId xmlns:a16="http://schemas.microsoft.com/office/drawing/2014/main" id="{00000000-0008-0000-1100-00009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0</xdr:col>
      <xdr:colOff>352424</xdr:colOff>
      <xdr:row>81</xdr:row>
      <xdr:rowOff>123826</xdr:rowOff>
    </xdr:from>
    <xdr:to>
      <xdr:col>20</xdr:col>
      <xdr:colOff>1876425</xdr:colOff>
      <xdr:row>114</xdr:row>
      <xdr:rowOff>66675</xdr:rowOff>
    </xdr:to>
    <xdr:graphicFrame macro="">
      <xdr:nvGraphicFramePr>
        <xdr:cNvPr id="146" name="Diagramm 145">
          <a:extLst>
            <a:ext uri="{FF2B5EF4-FFF2-40B4-BE49-F238E27FC236}">
              <a16:creationId xmlns:a16="http://schemas.microsoft.com/office/drawing/2014/main" id="{00000000-0008-0000-1100-00009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3</xdr:col>
      <xdr:colOff>876301</xdr:colOff>
      <xdr:row>87</xdr:row>
      <xdr:rowOff>114301</xdr:rowOff>
    </xdr:from>
    <xdr:to>
      <xdr:col>4</xdr:col>
      <xdr:colOff>312362</xdr:colOff>
      <xdr:row>89</xdr:row>
      <xdr:rowOff>95251</xdr:rowOff>
    </xdr:to>
    <xdr:pic>
      <xdr:nvPicPr>
        <xdr:cNvPr id="147" name="Picture 2">
          <a:extLst>
            <a:ext uri="{FF2B5EF4-FFF2-40B4-BE49-F238E27FC236}">
              <a16:creationId xmlns:a16="http://schemas.microsoft.com/office/drawing/2014/main" id="{00000000-0008-0000-1100-00009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600201" y="29898976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19050</xdr:colOff>
      <xdr:row>79</xdr:row>
      <xdr:rowOff>66675</xdr:rowOff>
    </xdr:from>
    <xdr:to>
      <xdr:col>9</xdr:col>
      <xdr:colOff>63332</xdr:colOff>
      <xdr:row>82</xdr:row>
      <xdr:rowOff>28575</xdr:rowOff>
    </xdr:to>
    <xdr:pic>
      <xdr:nvPicPr>
        <xdr:cNvPr id="148" name="Picture 2">
          <a:extLst>
            <a:ext uri="{FF2B5EF4-FFF2-40B4-BE49-F238E27FC236}">
              <a16:creationId xmlns:a16="http://schemas.microsoft.com/office/drawing/2014/main" id="{00000000-0008-0000-1100-00009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362450" y="28422600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314325</xdr:colOff>
      <xdr:row>87</xdr:row>
      <xdr:rowOff>57150</xdr:rowOff>
    </xdr:from>
    <xdr:to>
      <xdr:col>20</xdr:col>
      <xdr:colOff>742950</xdr:colOff>
      <xdr:row>90</xdr:row>
      <xdr:rowOff>2198</xdr:rowOff>
    </xdr:to>
    <xdr:pic>
      <xdr:nvPicPr>
        <xdr:cNvPr id="149" name="Picture 2">
          <a:extLst>
            <a:ext uri="{FF2B5EF4-FFF2-40B4-BE49-F238E27FC236}">
              <a16:creationId xmlns:a16="http://schemas.microsoft.com/office/drawing/2014/main" id="{00000000-0008-0000-1100-00009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305675" y="29841825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981075</xdr:colOff>
      <xdr:row>96</xdr:row>
      <xdr:rowOff>47625</xdr:rowOff>
    </xdr:from>
    <xdr:to>
      <xdr:col>20</xdr:col>
      <xdr:colOff>1503045</xdr:colOff>
      <xdr:row>98</xdr:row>
      <xdr:rowOff>85725</xdr:rowOff>
    </xdr:to>
    <xdr:pic>
      <xdr:nvPicPr>
        <xdr:cNvPr id="150" name="Picture 2">
          <a:extLst>
            <a:ext uri="{FF2B5EF4-FFF2-40B4-BE49-F238E27FC236}">
              <a16:creationId xmlns:a16="http://schemas.microsoft.com/office/drawing/2014/main" id="{00000000-0008-0000-1100-00009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972425" y="31546800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819150</xdr:colOff>
      <xdr:row>106</xdr:row>
      <xdr:rowOff>19050</xdr:rowOff>
    </xdr:from>
    <xdr:to>
      <xdr:col>20</xdr:col>
      <xdr:colOff>1282065</xdr:colOff>
      <xdr:row>108</xdr:row>
      <xdr:rowOff>152400</xdr:rowOff>
    </xdr:to>
    <xdr:pic>
      <xdr:nvPicPr>
        <xdr:cNvPr id="151" name="Picture 2">
          <a:extLst>
            <a:ext uri="{FF2B5EF4-FFF2-40B4-BE49-F238E27FC236}">
              <a16:creationId xmlns:a16="http://schemas.microsoft.com/office/drawing/2014/main" id="{00000000-0008-0000-1100-00009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810500" y="33423225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200025</xdr:colOff>
      <xdr:row>113</xdr:row>
      <xdr:rowOff>47625</xdr:rowOff>
    </xdr:from>
    <xdr:to>
      <xdr:col>15</xdr:col>
      <xdr:colOff>192612</xdr:colOff>
      <xdr:row>116</xdr:row>
      <xdr:rowOff>9525</xdr:rowOff>
    </xdr:to>
    <xdr:pic>
      <xdr:nvPicPr>
        <xdr:cNvPr id="152" name="Picture 2">
          <a:extLst>
            <a:ext uri="{FF2B5EF4-FFF2-40B4-BE49-F238E27FC236}">
              <a16:creationId xmlns:a16="http://schemas.microsoft.com/office/drawing/2014/main" id="{00000000-0008-0000-1100-00009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5886450" y="34785300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857250</xdr:colOff>
      <xdr:row>113</xdr:row>
      <xdr:rowOff>9525</xdr:rowOff>
    </xdr:from>
    <xdr:to>
      <xdr:col>4</xdr:col>
      <xdr:colOff>1295400</xdr:colOff>
      <xdr:row>116</xdr:row>
      <xdr:rowOff>48023</xdr:rowOff>
    </xdr:to>
    <xdr:pic>
      <xdr:nvPicPr>
        <xdr:cNvPr id="153" name="Picture 2">
          <a:extLst>
            <a:ext uri="{FF2B5EF4-FFF2-40B4-BE49-F238E27FC236}">
              <a16:creationId xmlns:a16="http://schemas.microsoft.com/office/drawing/2014/main" id="{00000000-0008-0000-1100-00009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600325" y="34747200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609600</xdr:colOff>
      <xdr:row>105</xdr:row>
      <xdr:rowOff>171450</xdr:rowOff>
    </xdr:from>
    <xdr:to>
      <xdr:col>4</xdr:col>
      <xdr:colOff>38100</xdr:colOff>
      <xdr:row>109</xdr:row>
      <xdr:rowOff>55841</xdr:rowOff>
    </xdr:to>
    <xdr:pic>
      <xdr:nvPicPr>
        <xdr:cNvPr id="154" name="Picture 2">
          <a:extLst>
            <a:ext uri="{FF2B5EF4-FFF2-40B4-BE49-F238E27FC236}">
              <a16:creationId xmlns:a16="http://schemas.microsoft.com/office/drawing/2014/main" id="{00000000-0008-0000-1100-00009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333500" y="33385125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295275</xdr:colOff>
      <xdr:row>95</xdr:row>
      <xdr:rowOff>152400</xdr:rowOff>
    </xdr:from>
    <xdr:to>
      <xdr:col>3</xdr:col>
      <xdr:colOff>795068</xdr:colOff>
      <xdr:row>98</xdr:row>
      <xdr:rowOff>95250</xdr:rowOff>
    </xdr:to>
    <xdr:pic>
      <xdr:nvPicPr>
        <xdr:cNvPr id="155" name="Picture 2">
          <a:extLst>
            <a:ext uri="{FF2B5EF4-FFF2-40B4-BE49-F238E27FC236}">
              <a16:creationId xmlns:a16="http://schemas.microsoft.com/office/drawing/2014/main" id="{00000000-0008-0000-1100-00009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019175" y="31461075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113</xdr:row>
      <xdr:rowOff>0</xdr:rowOff>
    </xdr:from>
    <xdr:to>
      <xdr:col>0</xdr:col>
      <xdr:colOff>390675</xdr:colOff>
      <xdr:row>114</xdr:row>
      <xdr:rowOff>134965</xdr:rowOff>
    </xdr:to>
    <xdr:grpSp>
      <xdr:nvGrpSpPr>
        <xdr:cNvPr id="156" name="Gruppieren 15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100-00009C000000}"/>
            </a:ext>
          </a:extLst>
        </xdr:cNvPr>
        <xdr:cNvGrpSpPr/>
      </xdr:nvGrpSpPr>
      <xdr:grpSpPr>
        <a:xfrm>
          <a:off x="66675" y="34328100"/>
          <a:ext cx="324000" cy="317845"/>
          <a:chOff x="66675" y="4972050"/>
          <a:chExt cx="324000" cy="325465"/>
        </a:xfrm>
      </xdr:grpSpPr>
      <xdr:sp macro="" textlink="">
        <xdr:nvSpPr>
          <xdr:cNvPr id="157" name="Rechteck 156">
            <a:extLst>
              <a:ext uri="{FF2B5EF4-FFF2-40B4-BE49-F238E27FC236}">
                <a16:creationId xmlns:a16="http://schemas.microsoft.com/office/drawing/2014/main" id="{00000000-0008-0000-1100-00009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8" name="Pfeil nach oben 157">
            <a:extLst>
              <a:ext uri="{FF2B5EF4-FFF2-40B4-BE49-F238E27FC236}">
                <a16:creationId xmlns:a16="http://schemas.microsoft.com/office/drawing/2014/main" id="{00000000-0008-0000-1100-00009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</xdr:row>
      <xdr:rowOff>209550</xdr:rowOff>
    </xdr:from>
    <xdr:to>
      <xdr:col>0</xdr:col>
      <xdr:colOff>390675</xdr:colOff>
      <xdr:row>6</xdr:row>
      <xdr:rowOff>1615</xdr:rowOff>
    </xdr:to>
    <xdr:grpSp>
      <xdr:nvGrpSpPr>
        <xdr:cNvPr id="159" name="Gruppieren 158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1100-00009F000000}"/>
            </a:ext>
          </a:extLst>
        </xdr:cNvPr>
        <xdr:cNvGrpSpPr/>
      </xdr:nvGrpSpPr>
      <xdr:grpSpPr>
        <a:xfrm>
          <a:off x="66675" y="1489710"/>
          <a:ext cx="324000" cy="317845"/>
          <a:chOff x="12382500" y="2152650"/>
          <a:chExt cx="324000" cy="325465"/>
        </a:xfrm>
      </xdr:grpSpPr>
      <xdr:sp macro="" textlink="">
        <xdr:nvSpPr>
          <xdr:cNvPr id="160" name="Rechteck 159">
            <a:extLst>
              <a:ext uri="{FF2B5EF4-FFF2-40B4-BE49-F238E27FC236}">
                <a16:creationId xmlns:a16="http://schemas.microsoft.com/office/drawing/2014/main" id="{00000000-0008-0000-1100-0000A0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61" name="Grafik 160">
            <a:extLst>
              <a:ext uri="{FF2B5EF4-FFF2-40B4-BE49-F238E27FC236}">
                <a16:creationId xmlns:a16="http://schemas.microsoft.com/office/drawing/2014/main" id="{00000000-0008-0000-1100-0000A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14</xdr:row>
          <xdr:rowOff>9633</xdr:rowOff>
        </xdr:from>
        <xdr:to>
          <xdr:col>16</xdr:col>
          <xdr:colOff>76191</xdr:colOff>
          <xdr:row>14</xdr:row>
          <xdr:rowOff>203638</xdr:rowOff>
        </xdr:to>
        <xdr:grpSp>
          <xdr:nvGrpSpPr>
            <xdr:cNvPr id="162" name="Gruppieren 161">
              <a:extLst>
                <a:ext uri="{FF2B5EF4-FFF2-40B4-BE49-F238E27FC236}">
                  <a16:creationId xmlns:a16="http://schemas.microsoft.com/office/drawing/2014/main" id="{00000000-0008-0000-1100-0000A2000000}"/>
                </a:ext>
              </a:extLst>
            </xdr:cNvPr>
            <xdr:cNvGrpSpPr/>
          </xdr:nvGrpSpPr>
          <xdr:grpSpPr>
            <a:xfrm>
              <a:off x="4417688" y="3850113"/>
              <a:ext cx="2295523" cy="194005"/>
              <a:chOff x="3581237" y="2105174"/>
              <a:chExt cx="2247895" cy="276225"/>
            </a:xfrm>
          </xdr:grpSpPr>
          <xdr:sp macro="" textlink="">
            <xdr:nvSpPr>
              <xdr:cNvPr id="40045" name="Group Box 109" hidden="1">
                <a:extLst>
                  <a:ext uri="{63B3BB69-23CF-44E3-9099-C40C66FF867C}">
                    <a14:compatExt spid="_x0000_s40045"/>
                  </a:ext>
                  <a:ext uri="{FF2B5EF4-FFF2-40B4-BE49-F238E27FC236}">
                    <a16:creationId xmlns:a16="http://schemas.microsoft.com/office/drawing/2014/main" id="{00000000-0008-0000-1100-00006D9C0000}"/>
                  </a:ext>
                </a:extLst>
              </xdr:cNvPr>
              <xdr:cNvSpPr/>
            </xdr:nvSpPr>
            <xdr:spPr bwMode="auto">
              <a:xfrm>
                <a:off x="3581237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46" name="Option Button 110" hidden="1">
                <a:extLst>
                  <a:ext uri="{63B3BB69-23CF-44E3-9099-C40C66FF867C}">
                    <a14:compatExt spid="_x0000_s40046"/>
                  </a:ext>
                  <a:ext uri="{FF2B5EF4-FFF2-40B4-BE49-F238E27FC236}">
                    <a16:creationId xmlns:a16="http://schemas.microsoft.com/office/drawing/2014/main" id="{00000000-0008-0000-1100-00006E9C00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7" name="Option Button 111" hidden="1">
                <a:extLst>
                  <a:ext uri="{63B3BB69-23CF-44E3-9099-C40C66FF867C}">
                    <a14:compatExt spid="_x0000_s40047"/>
                  </a:ext>
                  <a:ext uri="{FF2B5EF4-FFF2-40B4-BE49-F238E27FC236}">
                    <a16:creationId xmlns:a16="http://schemas.microsoft.com/office/drawing/2014/main" id="{00000000-0008-0000-1100-00006F9C00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8" name="Option Button 112" hidden="1">
                <a:extLst>
                  <a:ext uri="{63B3BB69-23CF-44E3-9099-C40C66FF867C}">
                    <a14:compatExt spid="_x0000_s40048"/>
                  </a:ext>
                  <a:ext uri="{FF2B5EF4-FFF2-40B4-BE49-F238E27FC236}">
                    <a16:creationId xmlns:a16="http://schemas.microsoft.com/office/drawing/2014/main" id="{00000000-0008-0000-1100-0000709C00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9" name="Option Button 113" hidden="1">
                <a:extLst>
                  <a:ext uri="{63B3BB69-23CF-44E3-9099-C40C66FF867C}">
                    <a14:compatExt spid="_x0000_s40049"/>
                  </a:ext>
                  <a:ext uri="{FF2B5EF4-FFF2-40B4-BE49-F238E27FC236}">
                    <a16:creationId xmlns:a16="http://schemas.microsoft.com/office/drawing/2014/main" id="{00000000-0008-0000-1100-0000719C00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50" name="Option Button 114" hidden="1">
                <a:extLst>
                  <a:ext uri="{63B3BB69-23CF-44E3-9099-C40C66FF867C}">
                    <a14:compatExt spid="_x0000_s40050"/>
                  </a:ext>
                  <a:ext uri="{FF2B5EF4-FFF2-40B4-BE49-F238E27FC236}">
                    <a16:creationId xmlns:a16="http://schemas.microsoft.com/office/drawing/2014/main" id="{00000000-0008-0000-1100-0000729C00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15</xdr:row>
          <xdr:rowOff>9633</xdr:rowOff>
        </xdr:from>
        <xdr:to>
          <xdr:col>16</xdr:col>
          <xdr:colOff>76191</xdr:colOff>
          <xdr:row>15</xdr:row>
          <xdr:rowOff>203638</xdr:rowOff>
        </xdr:to>
        <xdr:grpSp>
          <xdr:nvGrpSpPr>
            <xdr:cNvPr id="169" name="Gruppieren 168">
              <a:extLst>
                <a:ext uri="{FF2B5EF4-FFF2-40B4-BE49-F238E27FC236}">
                  <a16:creationId xmlns:a16="http://schemas.microsoft.com/office/drawing/2014/main" id="{00000000-0008-0000-1100-0000A9000000}"/>
                </a:ext>
              </a:extLst>
            </xdr:cNvPr>
            <xdr:cNvGrpSpPr/>
          </xdr:nvGrpSpPr>
          <xdr:grpSpPr>
            <a:xfrm>
              <a:off x="4417688" y="4246353"/>
              <a:ext cx="2295523" cy="194005"/>
              <a:chOff x="3581237" y="2105174"/>
              <a:chExt cx="2247895" cy="276225"/>
            </a:xfrm>
          </xdr:grpSpPr>
          <xdr:sp macro="" textlink="">
            <xdr:nvSpPr>
              <xdr:cNvPr id="40051" name="Group Box 115" hidden="1">
                <a:extLst>
                  <a:ext uri="{63B3BB69-23CF-44E3-9099-C40C66FF867C}">
                    <a14:compatExt spid="_x0000_s40051"/>
                  </a:ext>
                  <a:ext uri="{FF2B5EF4-FFF2-40B4-BE49-F238E27FC236}">
                    <a16:creationId xmlns:a16="http://schemas.microsoft.com/office/drawing/2014/main" id="{00000000-0008-0000-1100-0000739C0000}"/>
                  </a:ext>
                </a:extLst>
              </xdr:cNvPr>
              <xdr:cNvSpPr/>
            </xdr:nvSpPr>
            <xdr:spPr bwMode="auto">
              <a:xfrm>
                <a:off x="3581237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52" name="Option Button 116" hidden="1">
                <a:extLst>
                  <a:ext uri="{63B3BB69-23CF-44E3-9099-C40C66FF867C}">
                    <a14:compatExt spid="_x0000_s40052"/>
                  </a:ext>
                  <a:ext uri="{FF2B5EF4-FFF2-40B4-BE49-F238E27FC236}">
                    <a16:creationId xmlns:a16="http://schemas.microsoft.com/office/drawing/2014/main" id="{00000000-0008-0000-1100-0000749C00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53" name="Option Button 117" hidden="1">
                <a:extLst>
                  <a:ext uri="{63B3BB69-23CF-44E3-9099-C40C66FF867C}">
                    <a14:compatExt spid="_x0000_s40053"/>
                  </a:ext>
                  <a:ext uri="{FF2B5EF4-FFF2-40B4-BE49-F238E27FC236}">
                    <a16:creationId xmlns:a16="http://schemas.microsoft.com/office/drawing/2014/main" id="{00000000-0008-0000-1100-0000759C00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54" name="Option Button 118" hidden="1">
                <a:extLst>
                  <a:ext uri="{63B3BB69-23CF-44E3-9099-C40C66FF867C}">
                    <a14:compatExt spid="_x0000_s40054"/>
                  </a:ext>
                  <a:ext uri="{FF2B5EF4-FFF2-40B4-BE49-F238E27FC236}">
                    <a16:creationId xmlns:a16="http://schemas.microsoft.com/office/drawing/2014/main" id="{00000000-0008-0000-1100-0000769C00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55" name="Option Button 119" hidden="1">
                <a:extLst>
                  <a:ext uri="{63B3BB69-23CF-44E3-9099-C40C66FF867C}">
                    <a14:compatExt spid="_x0000_s40055"/>
                  </a:ext>
                  <a:ext uri="{FF2B5EF4-FFF2-40B4-BE49-F238E27FC236}">
                    <a16:creationId xmlns:a16="http://schemas.microsoft.com/office/drawing/2014/main" id="{00000000-0008-0000-1100-0000779C00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56" name="Option Button 120" hidden="1">
                <a:extLst>
                  <a:ext uri="{63B3BB69-23CF-44E3-9099-C40C66FF867C}">
                    <a14:compatExt spid="_x0000_s40056"/>
                  </a:ext>
                  <a:ext uri="{FF2B5EF4-FFF2-40B4-BE49-F238E27FC236}">
                    <a16:creationId xmlns:a16="http://schemas.microsoft.com/office/drawing/2014/main" id="{00000000-0008-0000-1100-0000789C00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16</xdr:row>
          <xdr:rowOff>9633</xdr:rowOff>
        </xdr:from>
        <xdr:to>
          <xdr:col>16</xdr:col>
          <xdr:colOff>76191</xdr:colOff>
          <xdr:row>16</xdr:row>
          <xdr:rowOff>203638</xdr:rowOff>
        </xdr:to>
        <xdr:grpSp>
          <xdr:nvGrpSpPr>
            <xdr:cNvPr id="176" name="Gruppieren 175">
              <a:extLst>
                <a:ext uri="{FF2B5EF4-FFF2-40B4-BE49-F238E27FC236}">
                  <a16:creationId xmlns:a16="http://schemas.microsoft.com/office/drawing/2014/main" id="{00000000-0008-0000-1100-0000B0000000}"/>
                </a:ext>
              </a:extLst>
            </xdr:cNvPr>
            <xdr:cNvGrpSpPr/>
          </xdr:nvGrpSpPr>
          <xdr:grpSpPr>
            <a:xfrm>
              <a:off x="4417688" y="4642593"/>
              <a:ext cx="2295523" cy="194005"/>
              <a:chOff x="3581237" y="2105174"/>
              <a:chExt cx="2247895" cy="276225"/>
            </a:xfrm>
          </xdr:grpSpPr>
          <xdr:sp macro="" textlink="">
            <xdr:nvSpPr>
              <xdr:cNvPr id="40057" name="Group Box 121" hidden="1">
                <a:extLst>
                  <a:ext uri="{63B3BB69-23CF-44E3-9099-C40C66FF867C}">
                    <a14:compatExt spid="_x0000_s40057"/>
                  </a:ext>
                  <a:ext uri="{FF2B5EF4-FFF2-40B4-BE49-F238E27FC236}">
                    <a16:creationId xmlns:a16="http://schemas.microsoft.com/office/drawing/2014/main" id="{00000000-0008-0000-1100-0000799C0000}"/>
                  </a:ext>
                </a:extLst>
              </xdr:cNvPr>
              <xdr:cNvSpPr/>
            </xdr:nvSpPr>
            <xdr:spPr bwMode="auto">
              <a:xfrm>
                <a:off x="3581237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58" name="Option Button 122" hidden="1">
                <a:extLst>
                  <a:ext uri="{63B3BB69-23CF-44E3-9099-C40C66FF867C}">
                    <a14:compatExt spid="_x0000_s40058"/>
                  </a:ext>
                  <a:ext uri="{FF2B5EF4-FFF2-40B4-BE49-F238E27FC236}">
                    <a16:creationId xmlns:a16="http://schemas.microsoft.com/office/drawing/2014/main" id="{00000000-0008-0000-1100-00007A9C00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59" name="Option Button 123" hidden="1">
                <a:extLst>
                  <a:ext uri="{63B3BB69-23CF-44E3-9099-C40C66FF867C}">
                    <a14:compatExt spid="_x0000_s40059"/>
                  </a:ext>
                  <a:ext uri="{FF2B5EF4-FFF2-40B4-BE49-F238E27FC236}">
                    <a16:creationId xmlns:a16="http://schemas.microsoft.com/office/drawing/2014/main" id="{00000000-0008-0000-1100-00007B9C00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0" name="Option Button 124" hidden="1">
                <a:extLst>
                  <a:ext uri="{63B3BB69-23CF-44E3-9099-C40C66FF867C}">
                    <a14:compatExt spid="_x0000_s40060"/>
                  </a:ext>
                  <a:ext uri="{FF2B5EF4-FFF2-40B4-BE49-F238E27FC236}">
                    <a16:creationId xmlns:a16="http://schemas.microsoft.com/office/drawing/2014/main" id="{00000000-0008-0000-1100-00007C9C00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1" name="Option Button 125" hidden="1">
                <a:extLst>
                  <a:ext uri="{63B3BB69-23CF-44E3-9099-C40C66FF867C}">
                    <a14:compatExt spid="_x0000_s40061"/>
                  </a:ext>
                  <a:ext uri="{FF2B5EF4-FFF2-40B4-BE49-F238E27FC236}">
                    <a16:creationId xmlns:a16="http://schemas.microsoft.com/office/drawing/2014/main" id="{00000000-0008-0000-1100-00007D9C00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2" name="Option Button 126" hidden="1">
                <a:extLst>
                  <a:ext uri="{63B3BB69-23CF-44E3-9099-C40C66FF867C}">
                    <a14:compatExt spid="_x0000_s40062"/>
                  </a:ext>
                  <a:ext uri="{FF2B5EF4-FFF2-40B4-BE49-F238E27FC236}">
                    <a16:creationId xmlns:a16="http://schemas.microsoft.com/office/drawing/2014/main" id="{00000000-0008-0000-1100-00007E9C00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342900</xdr:colOff>
      <xdr:row>9</xdr:row>
      <xdr:rowOff>190500</xdr:rowOff>
    </xdr:from>
    <xdr:to>
      <xdr:col>20</xdr:col>
      <xdr:colOff>1037700</xdr:colOff>
      <xdr:row>11</xdr:row>
      <xdr:rowOff>341246</xdr:rowOff>
    </xdr:to>
    <xdr:sp macro="" textlink="">
      <xdr:nvSpPr>
        <xdr:cNvPr id="183" name="Rechteck 182">
          <a:extLst>
            <a:ext uri="{FF2B5EF4-FFF2-40B4-BE49-F238E27FC236}">
              <a16:creationId xmlns:a16="http://schemas.microsoft.com/office/drawing/2014/main" id="{00000000-0008-0000-1100-0000B7000000}"/>
            </a:ext>
          </a:extLst>
        </xdr:cNvPr>
        <xdr:cNvSpPr>
          <a:spLocks/>
        </xdr:cNvSpPr>
      </xdr:nvSpPr>
      <xdr:spPr>
        <a:xfrm>
          <a:off x="7334250" y="21336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9</xdr:row>
      <xdr:rowOff>190500</xdr:rowOff>
    </xdr:from>
    <xdr:to>
      <xdr:col>20</xdr:col>
      <xdr:colOff>1758286</xdr:colOff>
      <xdr:row>11</xdr:row>
      <xdr:rowOff>341246</xdr:rowOff>
    </xdr:to>
    <xdr:sp macro="" textlink="">
      <xdr:nvSpPr>
        <xdr:cNvPr id="184" name="Rechteck 183">
          <a:extLst>
            <a:ext uri="{FF2B5EF4-FFF2-40B4-BE49-F238E27FC236}">
              <a16:creationId xmlns:a16="http://schemas.microsoft.com/office/drawing/2014/main" id="{00000000-0008-0000-1100-0000B8000000}"/>
            </a:ext>
          </a:extLst>
        </xdr:cNvPr>
        <xdr:cNvSpPr>
          <a:spLocks/>
        </xdr:cNvSpPr>
      </xdr:nvSpPr>
      <xdr:spPr>
        <a:xfrm>
          <a:off x="8054836" y="21336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9</xdr:row>
      <xdr:rowOff>190500</xdr:rowOff>
    </xdr:from>
    <xdr:to>
      <xdr:col>20</xdr:col>
      <xdr:colOff>2478872</xdr:colOff>
      <xdr:row>11</xdr:row>
      <xdr:rowOff>341246</xdr:rowOff>
    </xdr:to>
    <xdr:sp macro="" textlink="">
      <xdr:nvSpPr>
        <xdr:cNvPr id="185" name="Rechteck 184">
          <a:extLst>
            <a:ext uri="{FF2B5EF4-FFF2-40B4-BE49-F238E27FC236}">
              <a16:creationId xmlns:a16="http://schemas.microsoft.com/office/drawing/2014/main" id="{00000000-0008-0000-1100-0000B9000000}"/>
            </a:ext>
          </a:extLst>
        </xdr:cNvPr>
        <xdr:cNvSpPr>
          <a:spLocks/>
        </xdr:cNvSpPr>
      </xdr:nvSpPr>
      <xdr:spPr>
        <a:xfrm>
          <a:off x="8775422" y="21336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11</xdr:row>
      <xdr:rowOff>381000</xdr:rowOff>
    </xdr:from>
    <xdr:to>
      <xdr:col>20</xdr:col>
      <xdr:colOff>1037700</xdr:colOff>
      <xdr:row>13</xdr:row>
      <xdr:rowOff>312671</xdr:rowOff>
    </xdr:to>
    <xdr:sp macro="" textlink="">
      <xdr:nvSpPr>
        <xdr:cNvPr id="186" name="Rechteck 185">
          <a:extLst>
            <a:ext uri="{FF2B5EF4-FFF2-40B4-BE49-F238E27FC236}">
              <a16:creationId xmlns:a16="http://schemas.microsoft.com/office/drawing/2014/main" id="{00000000-0008-0000-1100-0000BA000000}"/>
            </a:ext>
          </a:extLst>
        </xdr:cNvPr>
        <xdr:cNvSpPr>
          <a:spLocks/>
        </xdr:cNvSpPr>
      </xdr:nvSpPr>
      <xdr:spPr>
        <a:xfrm>
          <a:off x="7334250" y="29241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11</xdr:row>
      <xdr:rowOff>381000</xdr:rowOff>
    </xdr:from>
    <xdr:to>
      <xdr:col>20</xdr:col>
      <xdr:colOff>1758286</xdr:colOff>
      <xdr:row>13</xdr:row>
      <xdr:rowOff>312671</xdr:rowOff>
    </xdr:to>
    <xdr:sp macro="" textlink="">
      <xdr:nvSpPr>
        <xdr:cNvPr id="187" name="Rechteck 186">
          <a:extLst>
            <a:ext uri="{FF2B5EF4-FFF2-40B4-BE49-F238E27FC236}">
              <a16:creationId xmlns:a16="http://schemas.microsoft.com/office/drawing/2014/main" id="{00000000-0008-0000-1100-0000BB000000}"/>
            </a:ext>
          </a:extLst>
        </xdr:cNvPr>
        <xdr:cNvSpPr>
          <a:spLocks/>
        </xdr:cNvSpPr>
      </xdr:nvSpPr>
      <xdr:spPr>
        <a:xfrm>
          <a:off x="8054836" y="29241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11</xdr:row>
      <xdr:rowOff>381000</xdr:rowOff>
    </xdr:from>
    <xdr:to>
      <xdr:col>20</xdr:col>
      <xdr:colOff>2478872</xdr:colOff>
      <xdr:row>13</xdr:row>
      <xdr:rowOff>312671</xdr:rowOff>
    </xdr:to>
    <xdr:sp macro="" textlink="">
      <xdr:nvSpPr>
        <xdr:cNvPr id="188" name="Rechteck 187">
          <a:extLst>
            <a:ext uri="{FF2B5EF4-FFF2-40B4-BE49-F238E27FC236}">
              <a16:creationId xmlns:a16="http://schemas.microsoft.com/office/drawing/2014/main" id="{00000000-0008-0000-1100-0000BC000000}"/>
            </a:ext>
          </a:extLst>
        </xdr:cNvPr>
        <xdr:cNvSpPr>
          <a:spLocks/>
        </xdr:cNvSpPr>
      </xdr:nvSpPr>
      <xdr:spPr>
        <a:xfrm>
          <a:off x="8775422" y="29241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17</xdr:row>
      <xdr:rowOff>171450</xdr:rowOff>
    </xdr:from>
    <xdr:to>
      <xdr:col>20</xdr:col>
      <xdr:colOff>1037700</xdr:colOff>
      <xdr:row>19</xdr:row>
      <xdr:rowOff>322196</xdr:rowOff>
    </xdr:to>
    <xdr:sp macro="" textlink="">
      <xdr:nvSpPr>
        <xdr:cNvPr id="189" name="Rechteck 188">
          <a:extLst>
            <a:ext uri="{FF2B5EF4-FFF2-40B4-BE49-F238E27FC236}">
              <a16:creationId xmlns:a16="http://schemas.microsoft.com/office/drawing/2014/main" id="{00000000-0008-0000-1100-0000BD000000}"/>
            </a:ext>
          </a:extLst>
        </xdr:cNvPr>
        <xdr:cNvSpPr>
          <a:spLocks/>
        </xdr:cNvSpPr>
      </xdr:nvSpPr>
      <xdr:spPr>
        <a:xfrm>
          <a:off x="7334250" y="51339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17</xdr:row>
      <xdr:rowOff>171450</xdr:rowOff>
    </xdr:from>
    <xdr:to>
      <xdr:col>20</xdr:col>
      <xdr:colOff>1758286</xdr:colOff>
      <xdr:row>19</xdr:row>
      <xdr:rowOff>322196</xdr:rowOff>
    </xdr:to>
    <xdr:sp macro="" textlink="">
      <xdr:nvSpPr>
        <xdr:cNvPr id="190" name="Rechteck 189">
          <a:extLst>
            <a:ext uri="{FF2B5EF4-FFF2-40B4-BE49-F238E27FC236}">
              <a16:creationId xmlns:a16="http://schemas.microsoft.com/office/drawing/2014/main" id="{00000000-0008-0000-1100-0000BE000000}"/>
            </a:ext>
          </a:extLst>
        </xdr:cNvPr>
        <xdr:cNvSpPr>
          <a:spLocks/>
        </xdr:cNvSpPr>
      </xdr:nvSpPr>
      <xdr:spPr>
        <a:xfrm>
          <a:off x="8054836" y="51339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17</xdr:row>
      <xdr:rowOff>171450</xdr:rowOff>
    </xdr:from>
    <xdr:to>
      <xdr:col>20</xdr:col>
      <xdr:colOff>2478872</xdr:colOff>
      <xdr:row>19</xdr:row>
      <xdr:rowOff>322196</xdr:rowOff>
    </xdr:to>
    <xdr:sp macro="" textlink="">
      <xdr:nvSpPr>
        <xdr:cNvPr id="191" name="Rechteck 190">
          <a:extLst>
            <a:ext uri="{FF2B5EF4-FFF2-40B4-BE49-F238E27FC236}">
              <a16:creationId xmlns:a16="http://schemas.microsoft.com/office/drawing/2014/main" id="{00000000-0008-0000-1100-0000BF000000}"/>
            </a:ext>
          </a:extLst>
        </xdr:cNvPr>
        <xdr:cNvSpPr>
          <a:spLocks/>
        </xdr:cNvSpPr>
      </xdr:nvSpPr>
      <xdr:spPr>
        <a:xfrm>
          <a:off x="8775422" y="51339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19</xdr:row>
      <xdr:rowOff>361950</xdr:rowOff>
    </xdr:from>
    <xdr:to>
      <xdr:col>20</xdr:col>
      <xdr:colOff>1037700</xdr:colOff>
      <xdr:row>21</xdr:row>
      <xdr:rowOff>312671</xdr:rowOff>
    </xdr:to>
    <xdr:sp macro="" textlink="">
      <xdr:nvSpPr>
        <xdr:cNvPr id="192" name="Rechteck 191">
          <a:extLst>
            <a:ext uri="{FF2B5EF4-FFF2-40B4-BE49-F238E27FC236}">
              <a16:creationId xmlns:a16="http://schemas.microsoft.com/office/drawing/2014/main" id="{00000000-0008-0000-1100-0000C0000000}"/>
            </a:ext>
          </a:extLst>
        </xdr:cNvPr>
        <xdr:cNvSpPr>
          <a:spLocks/>
        </xdr:cNvSpPr>
      </xdr:nvSpPr>
      <xdr:spPr>
        <a:xfrm>
          <a:off x="7334250" y="59245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19</xdr:row>
      <xdr:rowOff>361950</xdr:rowOff>
    </xdr:from>
    <xdr:to>
      <xdr:col>20</xdr:col>
      <xdr:colOff>1758286</xdr:colOff>
      <xdr:row>21</xdr:row>
      <xdr:rowOff>312671</xdr:rowOff>
    </xdr:to>
    <xdr:sp macro="" textlink="">
      <xdr:nvSpPr>
        <xdr:cNvPr id="193" name="Rechteck 192">
          <a:extLst>
            <a:ext uri="{FF2B5EF4-FFF2-40B4-BE49-F238E27FC236}">
              <a16:creationId xmlns:a16="http://schemas.microsoft.com/office/drawing/2014/main" id="{00000000-0008-0000-1100-0000C1000000}"/>
            </a:ext>
          </a:extLst>
        </xdr:cNvPr>
        <xdr:cNvSpPr>
          <a:spLocks/>
        </xdr:cNvSpPr>
      </xdr:nvSpPr>
      <xdr:spPr>
        <a:xfrm>
          <a:off x="8054836" y="59245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19</xdr:row>
      <xdr:rowOff>361950</xdr:rowOff>
    </xdr:from>
    <xdr:to>
      <xdr:col>20</xdr:col>
      <xdr:colOff>2478872</xdr:colOff>
      <xdr:row>21</xdr:row>
      <xdr:rowOff>312671</xdr:rowOff>
    </xdr:to>
    <xdr:sp macro="" textlink="">
      <xdr:nvSpPr>
        <xdr:cNvPr id="194" name="Rechteck 193">
          <a:extLst>
            <a:ext uri="{FF2B5EF4-FFF2-40B4-BE49-F238E27FC236}">
              <a16:creationId xmlns:a16="http://schemas.microsoft.com/office/drawing/2014/main" id="{00000000-0008-0000-1100-0000C2000000}"/>
            </a:ext>
          </a:extLst>
        </xdr:cNvPr>
        <xdr:cNvSpPr>
          <a:spLocks/>
        </xdr:cNvSpPr>
      </xdr:nvSpPr>
      <xdr:spPr>
        <a:xfrm>
          <a:off x="8775422" y="59245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26</xdr:row>
      <xdr:rowOff>171450</xdr:rowOff>
    </xdr:from>
    <xdr:to>
      <xdr:col>20</xdr:col>
      <xdr:colOff>1037700</xdr:colOff>
      <xdr:row>28</xdr:row>
      <xdr:rowOff>322196</xdr:rowOff>
    </xdr:to>
    <xdr:sp macro="" textlink="">
      <xdr:nvSpPr>
        <xdr:cNvPr id="195" name="Rechteck 194">
          <a:extLst>
            <a:ext uri="{FF2B5EF4-FFF2-40B4-BE49-F238E27FC236}">
              <a16:creationId xmlns:a16="http://schemas.microsoft.com/office/drawing/2014/main" id="{00000000-0008-0000-1100-0000C3000000}"/>
            </a:ext>
          </a:extLst>
        </xdr:cNvPr>
        <xdr:cNvSpPr>
          <a:spLocks/>
        </xdr:cNvSpPr>
      </xdr:nvSpPr>
      <xdr:spPr>
        <a:xfrm>
          <a:off x="7334250" y="85344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26</xdr:row>
      <xdr:rowOff>171450</xdr:rowOff>
    </xdr:from>
    <xdr:to>
      <xdr:col>20</xdr:col>
      <xdr:colOff>1758286</xdr:colOff>
      <xdr:row>28</xdr:row>
      <xdr:rowOff>322196</xdr:rowOff>
    </xdr:to>
    <xdr:sp macro="" textlink="">
      <xdr:nvSpPr>
        <xdr:cNvPr id="196" name="Rechteck 195">
          <a:extLst>
            <a:ext uri="{FF2B5EF4-FFF2-40B4-BE49-F238E27FC236}">
              <a16:creationId xmlns:a16="http://schemas.microsoft.com/office/drawing/2014/main" id="{00000000-0008-0000-1100-0000C4000000}"/>
            </a:ext>
          </a:extLst>
        </xdr:cNvPr>
        <xdr:cNvSpPr>
          <a:spLocks/>
        </xdr:cNvSpPr>
      </xdr:nvSpPr>
      <xdr:spPr>
        <a:xfrm>
          <a:off x="8054836" y="85344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26</xdr:row>
      <xdr:rowOff>171450</xdr:rowOff>
    </xdr:from>
    <xdr:to>
      <xdr:col>20</xdr:col>
      <xdr:colOff>2478872</xdr:colOff>
      <xdr:row>28</xdr:row>
      <xdr:rowOff>322196</xdr:rowOff>
    </xdr:to>
    <xdr:sp macro="" textlink="">
      <xdr:nvSpPr>
        <xdr:cNvPr id="197" name="Rechteck 196">
          <a:extLst>
            <a:ext uri="{FF2B5EF4-FFF2-40B4-BE49-F238E27FC236}">
              <a16:creationId xmlns:a16="http://schemas.microsoft.com/office/drawing/2014/main" id="{00000000-0008-0000-1100-0000C5000000}"/>
            </a:ext>
          </a:extLst>
        </xdr:cNvPr>
        <xdr:cNvSpPr>
          <a:spLocks/>
        </xdr:cNvSpPr>
      </xdr:nvSpPr>
      <xdr:spPr>
        <a:xfrm>
          <a:off x="8775422" y="85344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28</xdr:row>
      <xdr:rowOff>361950</xdr:rowOff>
    </xdr:from>
    <xdr:to>
      <xdr:col>20</xdr:col>
      <xdr:colOff>1037700</xdr:colOff>
      <xdr:row>29</xdr:row>
      <xdr:rowOff>712721</xdr:rowOff>
    </xdr:to>
    <xdr:sp macro="" textlink="">
      <xdr:nvSpPr>
        <xdr:cNvPr id="198" name="Rechteck 197">
          <a:extLst>
            <a:ext uri="{FF2B5EF4-FFF2-40B4-BE49-F238E27FC236}">
              <a16:creationId xmlns:a16="http://schemas.microsoft.com/office/drawing/2014/main" id="{00000000-0008-0000-1100-0000C6000000}"/>
            </a:ext>
          </a:extLst>
        </xdr:cNvPr>
        <xdr:cNvSpPr>
          <a:spLocks/>
        </xdr:cNvSpPr>
      </xdr:nvSpPr>
      <xdr:spPr>
        <a:xfrm>
          <a:off x="7334250" y="93249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28</xdr:row>
      <xdr:rowOff>361950</xdr:rowOff>
    </xdr:from>
    <xdr:to>
      <xdr:col>20</xdr:col>
      <xdr:colOff>1758286</xdr:colOff>
      <xdr:row>29</xdr:row>
      <xdr:rowOff>712721</xdr:rowOff>
    </xdr:to>
    <xdr:sp macro="" textlink="">
      <xdr:nvSpPr>
        <xdr:cNvPr id="199" name="Rechteck 198">
          <a:extLst>
            <a:ext uri="{FF2B5EF4-FFF2-40B4-BE49-F238E27FC236}">
              <a16:creationId xmlns:a16="http://schemas.microsoft.com/office/drawing/2014/main" id="{00000000-0008-0000-1100-0000C7000000}"/>
            </a:ext>
          </a:extLst>
        </xdr:cNvPr>
        <xdr:cNvSpPr>
          <a:spLocks/>
        </xdr:cNvSpPr>
      </xdr:nvSpPr>
      <xdr:spPr>
        <a:xfrm>
          <a:off x="8054836" y="93249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28</xdr:row>
      <xdr:rowOff>361950</xdr:rowOff>
    </xdr:from>
    <xdr:to>
      <xdr:col>20</xdr:col>
      <xdr:colOff>2478872</xdr:colOff>
      <xdr:row>29</xdr:row>
      <xdr:rowOff>712721</xdr:rowOff>
    </xdr:to>
    <xdr:sp macro="" textlink="">
      <xdr:nvSpPr>
        <xdr:cNvPr id="200" name="Rechteck 199">
          <a:extLst>
            <a:ext uri="{FF2B5EF4-FFF2-40B4-BE49-F238E27FC236}">
              <a16:creationId xmlns:a16="http://schemas.microsoft.com/office/drawing/2014/main" id="{00000000-0008-0000-1100-0000C8000000}"/>
            </a:ext>
          </a:extLst>
        </xdr:cNvPr>
        <xdr:cNvSpPr>
          <a:spLocks/>
        </xdr:cNvSpPr>
      </xdr:nvSpPr>
      <xdr:spPr>
        <a:xfrm>
          <a:off x="8775422" y="93249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18</xdr:row>
          <xdr:rowOff>9591</xdr:rowOff>
        </xdr:from>
        <xdr:to>
          <xdr:col>16</xdr:col>
          <xdr:colOff>76191</xdr:colOff>
          <xdr:row>18</xdr:row>
          <xdr:rowOff>203596</xdr:rowOff>
        </xdr:to>
        <xdr:grpSp>
          <xdr:nvGrpSpPr>
            <xdr:cNvPr id="201" name="Gruppieren 200">
              <a:extLst>
                <a:ext uri="{FF2B5EF4-FFF2-40B4-BE49-F238E27FC236}">
                  <a16:creationId xmlns:a16="http://schemas.microsoft.com/office/drawing/2014/main" id="{00000000-0008-0000-1100-0000C9000000}"/>
                </a:ext>
              </a:extLst>
            </xdr:cNvPr>
            <xdr:cNvGrpSpPr/>
          </xdr:nvGrpSpPr>
          <xdr:grpSpPr>
            <a:xfrm>
              <a:off x="4417688" y="523691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063" name="Group Box 127" hidden="1">
                <a:extLst>
                  <a:ext uri="{63B3BB69-23CF-44E3-9099-C40C66FF867C}">
                    <a14:compatExt spid="_x0000_s40063"/>
                  </a:ext>
                  <a:ext uri="{FF2B5EF4-FFF2-40B4-BE49-F238E27FC236}">
                    <a16:creationId xmlns:a16="http://schemas.microsoft.com/office/drawing/2014/main" id="{00000000-0008-0000-1100-00007F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64" name="Option Button 128" hidden="1">
                <a:extLst>
                  <a:ext uri="{63B3BB69-23CF-44E3-9099-C40C66FF867C}">
                    <a14:compatExt spid="_x0000_s40064"/>
                  </a:ext>
                  <a:ext uri="{FF2B5EF4-FFF2-40B4-BE49-F238E27FC236}">
                    <a16:creationId xmlns:a16="http://schemas.microsoft.com/office/drawing/2014/main" id="{00000000-0008-0000-1100-000080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5" name="Option Button 129" hidden="1">
                <a:extLst>
                  <a:ext uri="{63B3BB69-23CF-44E3-9099-C40C66FF867C}">
                    <a14:compatExt spid="_x0000_s40065"/>
                  </a:ext>
                  <a:ext uri="{FF2B5EF4-FFF2-40B4-BE49-F238E27FC236}">
                    <a16:creationId xmlns:a16="http://schemas.microsoft.com/office/drawing/2014/main" id="{00000000-0008-0000-1100-000081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6" name="Option Button 130" hidden="1">
                <a:extLst>
                  <a:ext uri="{63B3BB69-23CF-44E3-9099-C40C66FF867C}">
                    <a14:compatExt spid="_x0000_s40066"/>
                  </a:ext>
                  <a:ext uri="{FF2B5EF4-FFF2-40B4-BE49-F238E27FC236}">
                    <a16:creationId xmlns:a16="http://schemas.microsoft.com/office/drawing/2014/main" id="{00000000-0008-0000-1100-000082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7" name="Option Button 131" hidden="1">
                <a:extLst>
                  <a:ext uri="{63B3BB69-23CF-44E3-9099-C40C66FF867C}">
                    <a14:compatExt spid="_x0000_s40067"/>
                  </a:ext>
                  <a:ext uri="{FF2B5EF4-FFF2-40B4-BE49-F238E27FC236}">
                    <a16:creationId xmlns:a16="http://schemas.microsoft.com/office/drawing/2014/main" id="{00000000-0008-0000-1100-000083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8" name="Option Button 132" hidden="1">
                <a:extLst>
                  <a:ext uri="{63B3BB69-23CF-44E3-9099-C40C66FF867C}">
                    <a14:compatExt spid="_x0000_s40068"/>
                  </a:ext>
                  <a:ext uri="{FF2B5EF4-FFF2-40B4-BE49-F238E27FC236}">
                    <a16:creationId xmlns:a16="http://schemas.microsoft.com/office/drawing/2014/main" id="{00000000-0008-0000-1100-000084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19</xdr:row>
          <xdr:rowOff>9591</xdr:rowOff>
        </xdr:from>
        <xdr:to>
          <xdr:col>16</xdr:col>
          <xdr:colOff>76191</xdr:colOff>
          <xdr:row>19</xdr:row>
          <xdr:rowOff>203596</xdr:rowOff>
        </xdr:to>
        <xdr:grpSp>
          <xdr:nvGrpSpPr>
            <xdr:cNvPr id="208" name="Gruppieren 207">
              <a:extLst>
                <a:ext uri="{FF2B5EF4-FFF2-40B4-BE49-F238E27FC236}">
                  <a16:creationId xmlns:a16="http://schemas.microsoft.com/office/drawing/2014/main" id="{00000000-0008-0000-1100-0000D0000000}"/>
                </a:ext>
              </a:extLst>
            </xdr:cNvPr>
            <xdr:cNvGrpSpPr/>
          </xdr:nvGrpSpPr>
          <xdr:grpSpPr>
            <a:xfrm>
              <a:off x="4417688" y="563315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069" name="Group Box 133" hidden="1">
                <a:extLst>
                  <a:ext uri="{63B3BB69-23CF-44E3-9099-C40C66FF867C}">
                    <a14:compatExt spid="_x0000_s40069"/>
                  </a:ext>
                  <a:ext uri="{FF2B5EF4-FFF2-40B4-BE49-F238E27FC236}">
                    <a16:creationId xmlns:a16="http://schemas.microsoft.com/office/drawing/2014/main" id="{00000000-0008-0000-1100-000085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70" name="Option Button 134" hidden="1">
                <a:extLst>
                  <a:ext uri="{63B3BB69-23CF-44E3-9099-C40C66FF867C}">
                    <a14:compatExt spid="_x0000_s40070"/>
                  </a:ext>
                  <a:ext uri="{FF2B5EF4-FFF2-40B4-BE49-F238E27FC236}">
                    <a16:creationId xmlns:a16="http://schemas.microsoft.com/office/drawing/2014/main" id="{00000000-0008-0000-1100-000086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1" name="Option Button 135" hidden="1">
                <a:extLst>
                  <a:ext uri="{63B3BB69-23CF-44E3-9099-C40C66FF867C}">
                    <a14:compatExt spid="_x0000_s40071"/>
                  </a:ext>
                  <a:ext uri="{FF2B5EF4-FFF2-40B4-BE49-F238E27FC236}">
                    <a16:creationId xmlns:a16="http://schemas.microsoft.com/office/drawing/2014/main" id="{00000000-0008-0000-1100-000087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2" name="Option Button 136" hidden="1">
                <a:extLst>
                  <a:ext uri="{63B3BB69-23CF-44E3-9099-C40C66FF867C}">
                    <a14:compatExt spid="_x0000_s40072"/>
                  </a:ext>
                  <a:ext uri="{FF2B5EF4-FFF2-40B4-BE49-F238E27FC236}">
                    <a16:creationId xmlns:a16="http://schemas.microsoft.com/office/drawing/2014/main" id="{00000000-0008-0000-1100-000088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3" name="Option Button 137" hidden="1">
                <a:extLst>
                  <a:ext uri="{63B3BB69-23CF-44E3-9099-C40C66FF867C}">
                    <a14:compatExt spid="_x0000_s40073"/>
                  </a:ext>
                  <a:ext uri="{FF2B5EF4-FFF2-40B4-BE49-F238E27FC236}">
                    <a16:creationId xmlns:a16="http://schemas.microsoft.com/office/drawing/2014/main" id="{00000000-0008-0000-1100-000089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4" name="Option Button 138" hidden="1">
                <a:extLst>
                  <a:ext uri="{63B3BB69-23CF-44E3-9099-C40C66FF867C}">
                    <a14:compatExt spid="_x0000_s40074"/>
                  </a:ext>
                  <a:ext uri="{FF2B5EF4-FFF2-40B4-BE49-F238E27FC236}">
                    <a16:creationId xmlns:a16="http://schemas.microsoft.com/office/drawing/2014/main" id="{00000000-0008-0000-1100-00008A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20</xdr:row>
          <xdr:rowOff>9591</xdr:rowOff>
        </xdr:from>
        <xdr:to>
          <xdr:col>16</xdr:col>
          <xdr:colOff>76191</xdr:colOff>
          <xdr:row>20</xdr:row>
          <xdr:rowOff>203596</xdr:rowOff>
        </xdr:to>
        <xdr:grpSp>
          <xdr:nvGrpSpPr>
            <xdr:cNvPr id="215" name="Gruppieren 214">
              <a:extLst>
                <a:ext uri="{FF2B5EF4-FFF2-40B4-BE49-F238E27FC236}">
                  <a16:creationId xmlns:a16="http://schemas.microsoft.com/office/drawing/2014/main" id="{00000000-0008-0000-1100-0000D7000000}"/>
                </a:ext>
              </a:extLst>
            </xdr:cNvPr>
            <xdr:cNvGrpSpPr/>
          </xdr:nvGrpSpPr>
          <xdr:grpSpPr>
            <a:xfrm>
              <a:off x="4417688" y="602939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075" name="Group Box 139" hidden="1">
                <a:extLst>
                  <a:ext uri="{63B3BB69-23CF-44E3-9099-C40C66FF867C}">
                    <a14:compatExt spid="_x0000_s40075"/>
                  </a:ext>
                  <a:ext uri="{FF2B5EF4-FFF2-40B4-BE49-F238E27FC236}">
                    <a16:creationId xmlns:a16="http://schemas.microsoft.com/office/drawing/2014/main" id="{00000000-0008-0000-1100-00008B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76" name="Option Button 140" hidden="1">
                <a:extLst>
                  <a:ext uri="{63B3BB69-23CF-44E3-9099-C40C66FF867C}">
                    <a14:compatExt spid="_x0000_s40076"/>
                  </a:ext>
                  <a:ext uri="{FF2B5EF4-FFF2-40B4-BE49-F238E27FC236}">
                    <a16:creationId xmlns:a16="http://schemas.microsoft.com/office/drawing/2014/main" id="{00000000-0008-0000-1100-00008C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7" name="Option Button 141" hidden="1">
                <a:extLst>
                  <a:ext uri="{63B3BB69-23CF-44E3-9099-C40C66FF867C}">
                    <a14:compatExt spid="_x0000_s40077"/>
                  </a:ext>
                  <a:ext uri="{FF2B5EF4-FFF2-40B4-BE49-F238E27FC236}">
                    <a16:creationId xmlns:a16="http://schemas.microsoft.com/office/drawing/2014/main" id="{00000000-0008-0000-1100-00008D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8" name="Option Button 142" hidden="1">
                <a:extLst>
                  <a:ext uri="{63B3BB69-23CF-44E3-9099-C40C66FF867C}">
                    <a14:compatExt spid="_x0000_s40078"/>
                  </a:ext>
                  <a:ext uri="{FF2B5EF4-FFF2-40B4-BE49-F238E27FC236}">
                    <a16:creationId xmlns:a16="http://schemas.microsoft.com/office/drawing/2014/main" id="{00000000-0008-0000-1100-00008E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9" name="Option Button 143" hidden="1">
                <a:extLst>
                  <a:ext uri="{63B3BB69-23CF-44E3-9099-C40C66FF867C}">
                    <a14:compatExt spid="_x0000_s40079"/>
                  </a:ext>
                  <a:ext uri="{FF2B5EF4-FFF2-40B4-BE49-F238E27FC236}">
                    <a16:creationId xmlns:a16="http://schemas.microsoft.com/office/drawing/2014/main" id="{00000000-0008-0000-1100-00008F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80" name="Option Button 144" hidden="1">
                <a:extLst>
                  <a:ext uri="{63B3BB69-23CF-44E3-9099-C40C66FF867C}">
                    <a14:compatExt spid="_x0000_s40080"/>
                  </a:ext>
                  <a:ext uri="{FF2B5EF4-FFF2-40B4-BE49-F238E27FC236}">
                    <a16:creationId xmlns:a16="http://schemas.microsoft.com/office/drawing/2014/main" id="{00000000-0008-0000-1100-000090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21</xdr:row>
          <xdr:rowOff>66</xdr:rowOff>
        </xdr:from>
        <xdr:to>
          <xdr:col>16</xdr:col>
          <xdr:colOff>76191</xdr:colOff>
          <xdr:row>21</xdr:row>
          <xdr:rowOff>194071</xdr:rowOff>
        </xdr:to>
        <xdr:grpSp>
          <xdr:nvGrpSpPr>
            <xdr:cNvPr id="222" name="Gruppieren 221">
              <a:extLst>
                <a:ext uri="{FF2B5EF4-FFF2-40B4-BE49-F238E27FC236}">
                  <a16:creationId xmlns:a16="http://schemas.microsoft.com/office/drawing/2014/main" id="{00000000-0008-0000-1100-0000DE000000}"/>
                </a:ext>
              </a:extLst>
            </xdr:cNvPr>
            <xdr:cNvGrpSpPr/>
          </xdr:nvGrpSpPr>
          <xdr:grpSpPr>
            <a:xfrm>
              <a:off x="4417688" y="6416106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081" name="Group Box 145" hidden="1">
                <a:extLst>
                  <a:ext uri="{63B3BB69-23CF-44E3-9099-C40C66FF867C}">
                    <a14:compatExt spid="_x0000_s40081"/>
                  </a:ext>
                  <a:ext uri="{FF2B5EF4-FFF2-40B4-BE49-F238E27FC236}">
                    <a16:creationId xmlns:a16="http://schemas.microsoft.com/office/drawing/2014/main" id="{00000000-0008-0000-1100-000091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82" name="Option Button 146" hidden="1">
                <a:extLst>
                  <a:ext uri="{63B3BB69-23CF-44E3-9099-C40C66FF867C}">
                    <a14:compatExt spid="_x0000_s40082"/>
                  </a:ext>
                  <a:ext uri="{FF2B5EF4-FFF2-40B4-BE49-F238E27FC236}">
                    <a16:creationId xmlns:a16="http://schemas.microsoft.com/office/drawing/2014/main" id="{00000000-0008-0000-1100-000092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83" name="Option Button 147" hidden="1">
                <a:extLst>
                  <a:ext uri="{63B3BB69-23CF-44E3-9099-C40C66FF867C}">
                    <a14:compatExt spid="_x0000_s40083"/>
                  </a:ext>
                  <a:ext uri="{FF2B5EF4-FFF2-40B4-BE49-F238E27FC236}">
                    <a16:creationId xmlns:a16="http://schemas.microsoft.com/office/drawing/2014/main" id="{00000000-0008-0000-1100-000093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84" name="Option Button 148" hidden="1">
                <a:extLst>
                  <a:ext uri="{63B3BB69-23CF-44E3-9099-C40C66FF867C}">
                    <a14:compatExt spid="_x0000_s40084"/>
                  </a:ext>
                  <a:ext uri="{FF2B5EF4-FFF2-40B4-BE49-F238E27FC236}">
                    <a16:creationId xmlns:a16="http://schemas.microsoft.com/office/drawing/2014/main" id="{00000000-0008-0000-1100-000094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85" name="Option Button 149" hidden="1">
                <a:extLst>
                  <a:ext uri="{63B3BB69-23CF-44E3-9099-C40C66FF867C}">
                    <a14:compatExt spid="_x0000_s40085"/>
                  </a:ext>
                  <a:ext uri="{FF2B5EF4-FFF2-40B4-BE49-F238E27FC236}">
                    <a16:creationId xmlns:a16="http://schemas.microsoft.com/office/drawing/2014/main" id="{00000000-0008-0000-1100-000095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86" name="Option Button 150" hidden="1">
                <a:extLst>
                  <a:ext uri="{63B3BB69-23CF-44E3-9099-C40C66FF867C}">
                    <a14:compatExt spid="_x0000_s40086"/>
                  </a:ext>
                  <a:ext uri="{FF2B5EF4-FFF2-40B4-BE49-F238E27FC236}">
                    <a16:creationId xmlns:a16="http://schemas.microsoft.com/office/drawing/2014/main" id="{00000000-0008-0000-1100-000096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22</xdr:row>
          <xdr:rowOff>66</xdr:rowOff>
        </xdr:from>
        <xdr:to>
          <xdr:col>16</xdr:col>
          <xdr:colOff>76191</xdr:colOff>
          <xdr:row>22</xdr:row>
          <xdr:rowOff>194071</xdr:rowOff>
        </xdr:to>
        <xdr:grpSp>
          <xdr:nvGrpSpPr>
            <xdr:cNvPr id="229" name="Gruppieren 228">
              <a:extLst>
                <a:ext uri="{FF2B5EF4-FFF2-40B4-BE49-F238E27FC236}">
                  <a16:creationId xmlns:a16="http://schemas.microsoft.com/office/drawing/2014/main" id="{00000000-0008-0000-1100-0000E5000000}"/>
                </a:ext>
              </a:extLst>
            </xdr:cNvPr>
            <xdr:cNvGrpSpPr/>
          </xdr:nvGrpSpPr>
          <xdr:grpSpPr>
            <a:xfrm>
              <a:off x="4417688" y="6812346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087" name="Group Box 151" hidden="1">
                <a:extLst>
                  <a:ext uri="{63B3BB69-23CF-44E3-9099-C40C66FF867C}">
                    <a14:compatExt spid="_x0000_s40087"/>
                  </a:ext>
                  <a:ext uri="{FF2B5EF4-FFF2-40B4-BE49-F238E27FC236}">
                    <a16:creationId xmlns:a16="http://schemas.microsoft.com/office/drawing/2014/main" id="{00000000-0008-0000-1100-000097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88" name="Option Button 152" hidden="1">
                <a:extLst>
                  <a:ext uri="{63B3BB69-23CF-44E3-9099-C40C66FF867C}">
                    <a14:compatExt spid="_x0000_s40088"/>
                  </a:ext>
                  <a:ext uri="{FF2B5EF4-FFF2-40B4-BE49-F238E27FC236}">
                    <a16:creationId xmlns:a16="http://schemas.microsoft.com/office/drawing/2014/main" id="{00000000-0008-0000-1100-000098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89" name="Option Button 153" hidden="1">
                <a:extLst>
                  <a:ext uri="{63B3BB69-23CF-44E3-9099-C40C66FF867C}">
                    <a14:compatExt spid="_x0000_s40089"/>
                  </a:ext>
                  <a:ext uri="{FF2B5EF4-FFF2-40B4-BE49-F238E27FC236}">
                    <a16:creationId xmlns:a16="http://schemas.microsoft.com/office/drawing/2014/main" id="{00000000-0008-0000-1100-000099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0" name="Option Button 154" hidden="1">
                <a:extLst>
                  <a:ext uri="{63B3BB69-23CF-44E3-9099-C40C66FF867C}">
                    <a14:compatExt spid="_x0000_s40090"/>
                  </a:ext>
                  <a:ext uri="{FF2B5EF4-FFF2-40B4-BE49-F238E27FC236}">
                    <a16:creationId xmlns:a16="http://schemas.microsoft.com/office/drawing/2014/main" id="{00000000-0008-0000-1100-00009A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1" name="Option Button 155" hidden="1">
                <a:extLst>
                  <a:ext uri="{63B3BB69-23CF-44E3-9099-C40C66FF867C}">
                    <a14:compatExt spid="_x0000_s40091"/>
                  </a:ext>
                  <a:ext uri="{FF2B5EF4-FFF2-40B4-BE49-F238E27FC236}">
                    <a16:creationId xmlns:a16="http://schemas.microsoft.com/office/drawing/2014/main" id="{00000000-0008-0000-1100-00009B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2" name="Option Button 156" hidden="1">
                <a:extLst>
                  <a:ext uri="{63B3BB69-23CF-44E3-9099-C40C66FF867C}">
                    <a14:compatExt spid="_x0000_s40092"/>
                  </a:ext>
                  <a:ext uri="{FF2B5EF4-FFF2-40B4-BE49-F238E27FC236}">
                    <a16:creationId xmlns:a16="http://schemas.microsoft.com/office/drawing/2014/main" id="{00000000-0008-0000-1100-00009C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9</xdr:row>
      <xdr:rowOff>85724</xdr:rowOff>
    </xdr:from>
    <xdr:to>
      <xdr:col>21</xdr:col>
      <xdr:colOff>133349</xdr:colOff>
      <xdr:row>14</xdr:row>
      <xdr:rowOff>219074</xdr:rowOff>
    </xdr:to>
    <xdr:graphicFrame macro="">
      <xdr:nvGraphicFramePr>
        <xdr:cNvPr id="236" name="Diagramm 235">
          <a:extLst>
            <a:ext uri="{FF2B5EF4-FFF2-40B4-BE49-F238E27FC236}">
              <a16:creationId xmlns:a16="http://schemas.microsoft.com/office/drawing/2014/main" id="{00000000-0008-0000-1100-0000E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20</xdr:col>
      <xdr:colOff>57150</xdr:colOff>
      <xdr:row>17</xdr:row>
      <xdr:rowOff>66674</xdr:rowOff>
    </xdr:from>
    <xdr:to>
      <xdr:col>21</xdr:col>
      <xdr:colOff>133349</xdr:colOff>
      <xdr:row>22</xdr:row>
      <xdr:rowOff>219074</xdr:rowOff>
    </xdr:to>
    <xdr:graphicFrame macro="">
      <xdr:nvGraphicFramePr>
        <xdr:cNvPr id="237" name="Diagramm 236">
          <a:extLst>
            <a:ext uri="{FF2B5EF4-FFF2-40B4-BE49-F238E27FC236}">
              <a16:creationId xmlns:a16="http://schemas.microsoft.com/office/drawing/2014/main" id="{00000000-0008-0000-1100-0000E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27</xdr:row>
          <xdr:rowOff>19016</xdr:rowOff>
        </xdr:from>
        <xdr:to>
          <xdr:col>16</xdr:col>
          <xdr:colOff>76191</xdr:colOff>
          <xdr:row>27</xdr:row>
          <xdr:rowOff>188312</xdr:rowOff>
        </xdr:to>
        <xdr:grpSp>
          <xdr:nvGrpSpPr>
            <xdr:cNvPr id="238" name="Gruppieren 237">
              <a:extLst>
                <a:ext uri="{FF2B5EF4-FFF2-40B4-BE49-F238E27FC236}">
                  <a16:creationId xmlns:a16="http://schemas.microsoft.com/office/drawing/2014/main" id="{00000000-0008-0000-1100-0000EE000000}"/>
                </a:ext>
              </a:extLst>
            </xdr:cNvPr>
            <xdr:cNvGrpSpPr/>
          </xdr:nvGrpSpPr>
          <xdr:grpSpPr>
            <a:xfrm>
              <a:off x="4417688" y="8614376"/>
              <a:ext cx="2295523" cy="169296"/>
              <a:chOff x="3581237" y="2104684"/>
              <a:chExt cx="2247895" cy="276225"/>
            </a:xfrm>
          </xdr:grpSpPr>
          <xdr:sp macro="" textlink="">
            <xdr:nvSpPr>
              <xdr:cNvPr id="40093" name="Group Box 157" hidden="1">
                <a:extLst>
                  <a:ext uri="{63B3BB69-23CF-44E3-9099-C40C66FF867C}">
                    <a14:compatExt spid="_x0000_s40093"/>
                  </a:ext>
                  <a:ext uri="{FF2B5EF4-FFF2-40B4-BE49-F238E27FC236}">
                    <a16:creationId xmlns:a16="http://schemas.microsoft.com/office/drawing/2014/main" id="{00000000-0008-0000-1100-00009D9C0000}"/>
                  </a:ext>
                </a:extLst>
              </xdr:cNvPr>
              <xdr:cNvSpPr/>
            </xdr:nvSpPr>
            <xdr:spPr bwMode="auto">
              <a:xfrm>
                <a:off x="3581237" y="210468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94" name="Option Button 158" hidden="1">
                <a:extLst>
                  <a:ext uri="{63B3BB69-23CF-44E3-9099-C40C66FF867C}">
                    <a14:compatExt spid="_x0000_s40094"/>
                  </a:ext>
                  <a:ext uri="{FF2B5EF4-FFF2-40B4-BE49-F238E27FC236}">
                    <a16:creationId xmlns:a16="http://schemas.microsoft.com/office/drawing/2014/main" id="{00000000-0008-0000-1100-00009E9C0000}"/>
                  </a:ext>
                </a:extLst>
              </xdr:cNvPr>
              <xdr:cNvSpPr/>
            </xdr:nvSpPr>
            <xdr:spPr bwMode="auto">
              <a:xfrm>
                <a:off x="3705226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5" name="Option Button 159" hidden="1">
                <a:extLst>
                  <a:ext uri="{63B3BB69-23CF-44E3-9099-C40C66FF867C}">
                    <a14:compatExt spid="_x0000_s40095"/>
                  </a:ext>
                  <a:ext uri="{FF2B5EF4-FFF2-40B4-BE49-F238E27FC236}">
                    <a16:creationId xmlns:a16="http://schemas.microsoft.com/office/drawing/2014/main" id="{00000000-0008-0000-1100-00009F9C0000}"/>
                  </a:ext>
                </a:extLst>
              </xdr:cNvPr>
              <xdr:cNvSpPr/>
            </xdr:nvSpPr>
            <xdr:spPr bwMode="auto">
              <a:xfrm>
                <a:off x="4143376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6" name="Option Button 160" hidden="1">
                <a:extLst>
                  <a:ext uri="{63B3BB69-23CF-44E3-9099-C40C66FF867C}">
                    <a14:compatExt spid="_x0000_s40096"/>
                  </a:ext>
                  <a:ext uri="{FF2B5EF4-FFF2-40B4-BE49-F238E27FC236}">
                    <a16:creationId xmlns:a16="http://schemas.microsoft.com/office/drawing/2014/main" id="{00000000-0008-0000-1100-0000A09C0000}"/>
                  </a:ext>
                </a:extLst>
              </xdr:cNvPr>
              <xdr:cNvSpPr/>
            </xdr:nvSpPr>
            <xdr:spPr bwMode="auto">
              <a:xfrm>
                <a:off x="4581525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7" name="Option Button 161" hidden="1">
                <a:extLst>
                  <a:ext uri="{63B3BB69-23CF-44E3-9099-C40C66FF867C}">
                    <a14:compatExt spid="_x0000_s40097"/>
                  </a:ext>
                  <a:ext uri="{FF2B5EF4-FFF2-40B4-BE49-F238E27FC236}">
                    <a16:creationId xmlns:a16="http://schemas.microsoft.com/office/drawing/2014/main" id="{00000000-0008-0000-1100-0000A19C0000}"/>
                  </a:ext>
                </a:extLst>
              </xdr:cNvPr>
              <xdr:cNvSpPr/>
            </xdr:nvSpPr>
            <xdr:spPr bwMode="auto">
              <a:xfrm>
                <a:off x="5019675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8" name="Option Button 162" hidden="1">
                <a:extLst>
                  <a:ext uri="{63B3BB69-23CF-44E3-9099-C40C66FF867C}">
                    <a14:compatExt spid="_x0000_s40098"/>
                  </a:ext>
                  <a:ext uri="{FF2B5EF4-FFF2-40B4-BE49-F238E27FC236}">
                    <a16:creationId xmlns:a16="http://schemas.microsoft.com/office/drawing/2014/main" id="{00000000-0008-0000-1100-0000A29C0000}"/>
                  </a:ext>
                </a:extLst>
              </xdr:cNvPr>
              <xdr:cNvSpPr/>
            </xdr:nvSpPr>
            <xdr:spPr bwMode="auto">
              <a:xfrm>
                <a:off x="5457824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28</xdr:row>
          <xdr:rowOff>9491</xdr:rowOff>
        </xdr:from>
        <xdr:to>
          <xdr:col>16</xdr:col>
          <xdr:colOff>76191</xdr:colOff>
          <xdr:row>28</xdr:row>
          <xdr:rowOff>178787</xdr:rowOff>
        </xdr:to>
        <xdr:grpSp>
          <xdr:nvGrpSpPr>
            <xdr:cNvPr id="245" name="Gruppieren 244">
              <a:extLst>
                <a:ext uri="{FF2B5EF4-FFF2-40B4-BE49-F238E27FC236}">
                  <a16:creationId xmlns:a16="http://schemas.microsoft.com/office/drawing/2014/main" id="{00000000-0008-0000-1100-0000F5000000}"/>
                </a:ext>
              </a:extLst>
            </xdr:cNvPr>
            <xdr:cNvGrpSpPr/>
          </xdr:nvGrpSpPr>
          <xdr:grpSpPr>
            <a:xfrm>
              <a:off x="4417688" y="9001091"/>
              <a:ext cx="2295523" cy="169296"/>
              <a:chOff x="3581237" y="2104684"/>
              <a:chExt cx="2247895" cy="276225"/>
            </a:xfrm>
          </xdr:grpSpPr>
          <xdr:sp macro="" textlink="">
            <xdr:nvSpPr>
              <xdr:cNvPr id="40099" name="Group Box 163" hidden="1">
                <a:extLst>
                  <a:ext uri="{63B3BB69-23CF-44E3-9099-C40C66FF867C}">
                    <a14:compatExt spid="_x0000_s40099"/>
                  </a:ext>
                  <a:ext uri="{FF2B5EF4-FFF2-40B4-BE49-F238E27FC236}">
                    <a16:creationId xmlns:a16="http://schemas.microsoft.com/office/drawing/2014/main" id="{00000000-0008-0000-1100-0000A39C0000}"/>
                  </a:ext>
                </a:extLst>
              </xdr:cNvPr>
              <xdr:cNvSpPr/>
            </xdr:nvSpPr>
            <xdr:spPr bwMode="auto">
              <a:xfrm>
                <a:off x="3581237" y="210468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00" name="Option Button 164" hidden="1">
                <a:extLst>
                  <a:ext uri="{63B3BB69-23CF-44E3-9099-C40C66FF867C}">
                    <a14:compatExt spid="_x0000_s40100"/>
                  </a:ext>
                  <a:ext uri="{FF2B5EF4-FFF2-40B4-BE49-F238E27FC236}">
                    <a16:creationId xmlns:a16="http://schemas.microsoft.com/office/drawing/2014/main" id="{00000000-0008-0000-1100-0000A49C0000}"/>
                  </a:ext>
                </a:extLst>
              </xdr:cNvPr>
              <xdr:cNvSpPr/>
            </xdr:nvSpPr>
            <xdr:spPr bwMode="auto">
              <a:xfrm>
                <a:off x="3705226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1" name="Option Button 165" hidden="1">
                <a:extLst>
                  <a:ext uri="{63B3BB69-23CF-44E3-9099-C40C66FF867C}">
                    <a14:compatExt spid="_x0000_s40101"/>
                  </a:ext>
                  <a:ext uri="{FF2B5EF4-FFF2-40B4-BE49-F238E27FC236}">
                    <a16:creationId xmlns:a16="http://schemas.microsoft.com/office/drawing/2014/main" id="{00000000-0008-0000-1100-0000A59C0000}"/>
                  </a:ext>
                </a:extLst>
              </xdr:cNvPr>
              <xdr:cNvSpPr/>
            </xdr:nvSpPr>
            <xdr:spPr bwMode="auto">
              <a:xfrm>
                <a:off x="4143376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2" name="Option Button 166" hidden="1">
                <a:extLst>
                  <a:ext uri="{63B3BB69-23CF-44E3-9099-C40C66FF867C}">
                    <a14:compatExt spid="_x0000_s40102"/>
                  </a:ext>
                  <a:ext uri="{FF2B5EF4-FFF2-40B4-BE49-F238E27FC236}">
                    <a16:creationId xmlns:a16="http://schemas.microsoft.com/office/drawing/2014/main" id="{00000000-0008-0000-1100-0000A69C0000}"/>
                  </a:ext>
                </a:extLst>
              </xdr:cNvPr>
              <xdr:cNvSpPr/>
            </xdr:nvSpPr>
            <xdr:spPr bwMode="auto">
              <a:xfrm>
                <a:off x="4581525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3" name="Option Button 167" hidden="1">
                <a:extLst>
                  <a:ext uri="{63B3BB69-23CF-44E3-9099-C40C66FF867C}">
                    <a14:compatExt spid="_x0000_s40103"/>
                  </a:ext>
                  <a:ext uri="{FF2B5EF4-FFF2-40B4-BE49-F238E27FC236}">
                    <a16:creationId xmlns:a16="http://schemas.microsoft.com/office/drawing/2014/main" id="{00000000-0008-0000-1100-0000A79C0000}"/>
                  </a:ext>
                </a:extLst>
              </xdr:cNvPr>
              <xdr:cNvSpPr/>
            </xdr:nvSpPr>
            <xdr:spPr bwMode="auto">
              <a:xfrm>
                <a:off x="5019675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4" name="Option Button 168" hidden="1">
                <a:extLst>
                  <a:ext uri="{63B3BB69-23CF-44E3-9099-C40C66FF867C}">
                    <a14:compatExt spid="_x0000_s40104"/>
                  </a:ext>
                  <a:ext uri="{FF2B5EF4-FFF2-40B4-BE49-F238E27FC236}">
                    <a16:creationId xmlns:a16="http://schemas.microsoft.com/office/drawing/2014/main" id="{00000000-0008-0000-1100-0000A89C0000}"/>
                  </a:ext>
                </a:extLst>
              </xdr:cNvPr>
              <xdr:cNvSpPr/>
            </xdr:nvSpPr>
            <xdr:spPr bwMode="auto">
              <a:xfrm>
                <a:off x="5457824" y="2152665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342900</xdr:colOff>
      <xdr:row>30</xdr:row>
      <xdr:rowOff>180975</xdr:rowOff>
    </xdr:from>
    <xdr:to>
      <xdr:col>20</xdr:col>
      <xdr:colOff>1037700</xdr:colOff>
      <xdr:row>32</xdr:row>
      <xdr:rowOff>331721</xdr:rowOff>
    </xdr:to>
    <xdr:sp macro="" textlink="">
      <xdr:nvSpPr>
        <xdr:cNvPr id="252" name="Rechteck 251">
          <a:extLst>
            <a:ext uri="{FF2B5EF4-FFF2-40B4-BE49-F238E27FC236}">
              <a16:creationId xmlns:a16="http://schemas.microsoft.com/office/drawing/2014/main" id="{00000000-0008-0000-1100-0000FC000000}"/>
            </a:ext>
          </a:extLst>
        </xdr:cNvPr>
        <xdr:cNvSpPr>
          <a:spLocks/>
        </xdr:cNvSpPr>
      </xdr:nvSpPr>
      <xdr:spPr>
        <a:xfrm>
          <a:off x="7334250" y="106965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30</xdr:row>
      <xdr:rowOff>180975</xdr:rowOff>
    </xdr:from>
    <xdr:to>
      <xdr:col>20</xdr:col>
      <xdr:colOff>1758286</xdr:colOff>
      <xdr:row>32</xdr:row>
      <xdr:rowOff>331721</xdr:rowOff>
    </xdr:to>
    <xdr:sp macro="" textlink="">
      <xdr:nvSpPr>
        <xdr:cNvPr id="253" name="Rechteck 252">
          <a:extLst>
            <a:ext uri="{FF2B5EF4-FFF2-40B4-BE49-F238E27FC236}">
              <a16:creationId xmlns:a16="http://schemas.microsoft.com/office/drawing/2014/main" id="{00000000-0008-0000-1100-0000FD000000}"/>
            </a:ext>
          </a:extLst>
        </xdr:cNvPr>
        <xdr:cNvSpPr>
          <a:spLocks/>
        </xdr:cNvSpPr>
      </xdr:nvSpPr>
      <xdr:spPr>
        <a:xfrm>
          <a:off x="8054836" y="106965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30</xdr:row>
      <xdr:rowOff>180975</xdr:rowOff>
    </xdr:from>
    <xdr:to>
      <xdr:col>20</xdr:col>
      <xdr:colOff>2478872</xdr:colOff>
      <xdr:row>32</xdr:row>
      <xdr:rowOff>331721</xdr:rowOff>
    </xdr:to>
    <xdr:sp macro="" textlink="">
      <xdr:nvSpPr>
        <xdr:cNvPr id="254" name="Rechteck 253">
          <a:extLst>
            <a:ext uri="{FF2B5EF4-FFF2-40B4-BE49-F238E27FC236}">
              <a16:creationId xmlns:a16="http://schemas.microsoft.com/office/drawing/2014/main" id="{00000000-0008-0000-1100-0000FE000000}"/>
            </a:ext>
          </a:extLst>
        </xdr:cNvPr>
        <xdr:cNvSpPr>
          <a:spLocks/>
        </xdr:cNvSpPr>
      </xdr:nvSpPr>
      <xdr:spPr>
        <a:xfrm>
          <a:off x="8775422" y="106965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32</xdr:row>
      <xdr:rowOff>371475</xdr:rowOff>
    </xdr:from>
    <xdr:to>
      <xdr:col>20</xdr:col>
      <xdr:colOff>1037700</xdr:colOff>
      <xdr:row>34</xdr:row>
      <xdr:rowOff>322196</xdr:rowOff>
    </xdr:to>
    <xdr:sp macro="" textlink="">
      <xdr:nvSpPr>
        <xdr:cNvPr id="255" name="Rechteck 254">
          <a:extLst>
            <a:ext uri="{FF2B5EF4-FFF2-40B4-BE49-F238E27FC236}">
              <a16:creationId xmlns:a16="http://schemas.microsoft.com/office/drawing/2014/main" id="{00000000-0008-0000-1100-0000FF000000}"/>
            </a:ext>
          </a:extLst>
        </xdr:cNvPr>
        <xdr:cNvSpPr>
          <a:spLocks/>
        </xdr:cNvSpPr>
      </xdr:nvSpPr>
      <xdr:spPr>
        <a:xfrm>
          <a:off x="7334250" y="114871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32</xdr:row>
      <xdr:rowOff>371475</xdr:rowOff>
    </xdr:from>
    <xdr:to>
      <xdr:col>20</xdr:col>
      <xdr:colOff>1758286</xdr:colOff>
      <xdr:row>34</xdr:row>
      <xdr:rowOff>322196</xdr:rowOff>
    </xdr:to>
    <xdr:sp macro="" textlink="">
      <xdr:nvSpPr>
        <xdr:cNvPr id="256" name="Rechteck 255">
          <a:extLst>
            <a:ext uri="{FF2B5EF4-FFF2-40B4-BE49-F238E27FC236}">
              <a16:creationId xmlns:a16="http://schemas.microsoft.com/office/drawing/2014/main" id="{00000000-0008-0000-1100-000000010000}"/>
            </a:ext>
          </a:extLst>
        </xdr:cNvPr>
        <xdr:cNvSpPr>
          <a:spLocks/>
        </xdr:cNvSpPr>
      </xdr:nvSpPr>
      <xdr:spPr>
        <a:xfrm>
          <a:off x="8054836" y="114871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32</xdr:row>
      <xdr:rowOff>371475</xdr:rowOff>
    </xdr:from>
    <xdr:to>
      <xdr:col>20</xdr:col>
      <xdr:colOff>2478872</xdr:colOff>
      <xdr:row>34</xdr:row>
      <xdr:rowOff>322196</xdr:rowOff>
    </xdr:to>
    <xdr:sp macro="" textlink="">
      <xdr:nvSpPr>
        <xdr:cNvPr id="257" name="Rechteck 256">
          <a:extLst>
            <a:ext uri="{FF2B5EF4-FFF2-40B4-BE49-F238E27FC236}">
              <a16:creationId xmlns:a16="http://schemas.microsoft.com/office/drawing/2014/main" id="{00000000-0008-0000-1100-000001010000}"/>
            </a:ext>
          </a:extLst>
        </xdr:cNvPr>
        <xdr:cNvSpPr>
          <a:spLocks/>
        </xdr:cNvSpPr>
      </xdr:nvSpPr>
      <xdr:spPr>
        <a:xfrm>
          <a:off x="8775422" y="114871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57150</xdr:colOff>
      <xdr:row>26</xdr:row>
      <xdr:rowOff>66674</xdr:rowOff>
    </xdr:from>
    <xdr:to>
      <xdr:col>21</xdr:col>
      <xdr:colOff>133349</xdr:colOff>
      <xdr:row>29</xdr:row>
      <xdr:rowOff>1019174</xdr:rowOff>
    </xdr:to>
    <xdr:graphicFrame macro="">
      <xdr:nvGraphicFramePr>
        <xdr:cNvPr id="258" name="Diagramm 257">
          <a:extLst>
            <a:ext uri="{FF2B5EF4-FFF2-40B4-BE49-F238E27FC236}">
              <a16:creationId xmlns:a16="http://schemas.microsoft.com/office/drawing/2014/main" id="{00000000-0008-0000-1100-000002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20</xdr:col>
      <xdr:colOff>342900</xdr:colOff>
      <xdr:row>39</xdr:row>
      <xdr:rowOff>171450</xdr:rowOff>
    </xdr:from>
    <xdr:to>
      <xdr:col>20</xdr:col>
      <xdr:colOff>1037700</xdr:colOff>
      <xdr:row>41</xdr:row>
      <xdr:rowOff>322196</xdr:rowOff>
    </xdr:to>
    <xdr:sp macro="" textlink="">
      <xdr:nvSpPr>
        <xdr:cNvPr id="259" name="Rechteck 258">
          <a:extLst>
            <a:ext uri="{FF2B5EF4-FFF2-40B4-BE49-F238E27FC236}">
              <a16:creationId xmlns:a16="http://schemas.microsoft.com/office/drawing/2014/main" id="{00000000-0008-0000-1100-000003010000}"/>
            </a:ext>
          </a:extLst>
        </xdr:cNvPr>
        <xdr:cNvSpPr>
          <a:spLocks/>
        </xdr:cNvSpPr>
      </xdr:nvSpPr>
      <xdr:spPr>
        <a:xfrm>
          <a:off x="7334250" y="140874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39</xdr:row>
      <xdr:rowOff>171450</xdr:rowOff>
    </xdr:from>
    <xdr:to>
      <xdr:col>20</xdr:col>
      <xdr:colOff>1758286</xdr:colOff>
      <xdr:row>41</xdr:row>
      <xdr:rowOff>322196</xdr:rowOff>
    </xdr:to>
    <xdr:sp macro="" textlink="">
      <xdr:nvSpPr>
        <xdr:cNvPr id="260" name="Rechteck 259">
          <a:extLst>
            <a:ext uri="{FF2B5EF4-FFF2-40B4-BE49-F238E27FC236}">
              <a16:creationId xmlns:a16="http://schemas.microsoft.com/office/drawing/2014/main" id="{00000000-0008-0000-1100-000004010000}"/>
            </a:ext>
          </a:extLst>
        </xdr:cNvPr>
        <xdr:cNvSpPr>
          <a:spLocks/>
        </xdr:cNvSpPr>
      </xdr:nvSpPr>
      <xdr:spPr>
        <a:xfrm>
          <a:off x="8054836" y="140874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39</xdr:row>
      <xdr:rowOff>171450</xdr:rowOff>
    </xdr:from>
    <xdr:to>
      <xdr:col>20</xdr:col>
      <xdr:colOff>2478872</xdr:colOff>
      <xdr:row>41</xdr:row>
      <xdr:rowOff>322196</xdr:rowOff>
    </xdr:to>
    <xdr:sp macro="" textlink="">
      <xdr:nvSpPr>
        <xdr:cNvPr id="261" name="Rechteck 260">
          <a:extLst>
            <a:ext uri="{FF2B5EF4-FFF2-40B4-BE49-F238E27FC236}">
              <a16:creationId xmlns:a16="http://schemas.microsoft.com/office/drawing/2014/main" id="{00000000-0008-0000-1100-000005010000}"/>
            </a:ext>
          </a:extLst>
        </xdr:cNvPr>
        <xdr:cNvSpPr>
          <a:spLocks/>
        </xdr:cNvSpPr>
      </xdr:nvSpPr>
      <xdr:spPr>
        <a:xfrm>
          <a:off x="8775422" y="140874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41</xdr:row>
      <xdr:rowOff>361950</xdr:rowOff>
    </xdr:from>
    <xdr:to>
      <xdr:col>20</xdr:col>
      <xdr:colOff>1037700</xdr:colOff>
      <xdr:row>43</xdr:row>
      <xdr:rowOff>312671</xdr:rowOff>
    </xdr:to>
    <xdr:sp macro="" textlink="">
      <xdr:nvSpPr>
        <xdr:cNvPr id="262" name="Rechteck 261">
          <a:extLst>
            <a:ext uri="{FF2B5EF4-FFF2-40B4-BE49-F238E27FC236}">
              <a16:creationId xmlns:a16="http://schemas.microsoft.com/office/drawing/2014/main" id="{00000000-0008-0000-1100-000006010000}"/>
            </a:ext>
          </a:extLst>
        </xdr:cNvPr>
        <xdr:cNvSpPr>
          <a:spLocks/>
        </xdr:cNvSpPr>
      </xdr:nvSpPr>
      <xdr:spPr>
        <a:xfrm>
          <a:off x="7334250" y="148780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41</xdr:row>
      <xdr:rowOff>361950</xdr:rowOff>
    </xdr:from>
    <xdr:to>
      <xdr:col>20</xdr:col>
      <xdr:colOff>1758286</xdr:colOff>
      <xdr:row>43</xdr:row>
      <xdr:rowOff>312671</xdr:rowOff>
    </xdr:to>
    <xdr:sp macro="" textlink="">
      <xdr:nvSpPr>
        <xdr:cNvPr id="263" name="Rechteck 262">
          <a:extLst>
            <a:ext uri="{FF2B5EF4-FFF2-40B4-BE49-F238E27FC236}">
              <a16:creationId xmlns:a16="http://schemas.microsoft.com/office/drawing/2014/main" id="{00000000-0008-0000-1100-000007010000}"/>
            </a:ext>
          </a:extLst>
        </xdr:cNvPr>
        <xdr:cNvSpPr>
          <a:spLocks/>
        </xdr:cNvSpPr>
      </xdr:nvSpPr>
      <xdr:spPr>
        <a:xfrm>
          <a:off x="8054836" y="148780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41</xdr:row>
      <xdr:rowOff>361950</xdr:rowOff>
    </xdr:from>
    <xdr:to>
      <xdr:col>20</xdr:col>
      <xdr:colOff>2478872</xdr:colOff>
      <xdr:row>43</xdr:row>
      <xdr:rowOff>312671</xdr:rowOff>
    </xdr:to>
    <xdr:sp macro="" textlink="">
      <xdr:nvSpPr>
        <xdr:cNvPr id="264" name="Rechteck 263">
          <a:extLst>
            <a:ext uri="{FF2B5EF4-FFF2-40B4-BE49-F238E27FC236}">
              <a16:creationId xmlns:a16="http://schemas.microsoft.com/office/drawing/2014/main" id="{00000000-0008-0000-1100-000008010000}"/>
            </a:ext>
          </a:extLst>
        </xdr:cNvPr>
        <xdr:cNvSpPr>
          <a:spLocks/>
        </xdr:cNvSpPr>
      </xdr:nvSpPr>
      <xdr:spPr>
        <a:xfrm>
          <a:off x="8775422" y="148780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47</xdr:row>
      <xdr:rowOff>171450</xdr:rowOff>
    </xdr:from>
    <xdr:to>
      <xdr:col>20</xdr:col>
      <xdr:colOff>1037700</xdr:colOff>
      <xdr:row>49</xdr:row>
      <xdr:rowOff>322196</xdr:rowOff>
    </xdr:to>
    <xdr:sp macro="" textlink="">
      <xdr:nvSpPr>
        <xdr:cNvPr id="265" name="Rechteck 264">
          <a:extLst>
            <a:ext uri="{FF2B5EF4-FFF2-40B4-BE49-F238E27FC236}">
              <a16:creationId xmlns:a16="http://schemas.microsoft.com/office/drawing/2014/main" id="{00000000-0008-0000-1100-000009010000}"/>
            </a:ext>
          </a:extLst>
        </xdr:cNvPr>
        <xdr:cNvSpPr>
          <a:spLocks/>
        </xdr:cNvSpPr>
      </xdr:nvSpPr>
      <xdr:spPr>
        <a:xfrm>
          <a:off x="7334250" y="170878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47</xdr:row>
      <xdr:rowOff>171450</xdr:rowOff>
    </xdr:from>
    <xdr:to>
      <xdr:col>20</xdr:col>
      <xdr:colOff>1758286</xdr:colOff>
      <xdr:row>49</xdr:row>
      <xdr:rowOff>322196</xdr:rowOff>
    </xdr:to>
    <xdr:sp macro="" textlink="">
      <xdr:nvSpPr>
        <xdr:cNvPr id="266" name="Rechteck 265">
          <a:extLst>
            <a:ext uri="{FF2B5EF4-FFF2-40B4-BE49-F238E27FC236}">
              <a16:creationId xmlns:a16="http://schemas.microsoft.com/office/drawing/2014/main" id="{00000000-0008-0000-1100-00000A010000}"/>
            </a:ext>
          </a:extLst>
        </xdr:cNvPr>
        <xdr:cNvSpPr>
          <a:spLocks/>
        </xdr:cNvSpPr>
      </xdr:nvSpPr>
      <xdr:spPr>
        <a:xfrm>
          <a:off x="8054836" y="170878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47</xdr:row>
      <xdr:rowOff>171450</xdr:rowOff>
    </xdr:from>
    <xdr:to>
      <xdr:col>20</xdr:col>
      <xdr:colOff>2478872</xdr:colOff>
      <xdr:row>49</xdr:row>
      <xdr:rowOff>322196</xdr:rowOff>
    </xdr:to>
    <xdr:sp macro="" textlink="">
      <xdr:nvSpPr>
        <xdr:cNvPr id="267" name="Rechteck 266">
          <a:extLst>
            <a:ext uri="{FF2B5EF4-FFF2-40B4-BE49-F238E27FC236}">
              <a16:creationId xmlns:a16="http://schemas.microsoft.com/office/drawing/2014/main" id="{00000000-0008-0000-1100-00000B010000}"/>
            </a:ext>
          </a:extLst>
        </xdr:cNvPr>
        <xdr:cNvSpPr>
          <a:spLocks/>
        </xdr:cNvSpPr>
      </xdr:nvSpPr>
      <xdr:spPr>
        <a:xfrm>
          <a:off x="8775422" y="170878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49</xdr:row>
      <xdr:rowOff>361950</xdr:rowOff>
    </xdr:from>
    <xdr:to>
      <xdr:col>20</xdr:col>
      <xdr:colOff>1037700</xdr:colOff>
      <xdr:row>51</xdr:row>
      <xdr:rowOff>312671</xdr:rowOff>
    </xdr:to>
    <xdr:sp macro="" textlink="">
      <xdr:nvSpPr>
        <xdr:cNvPr id="268" name="Rechteck 267">
          <a:extLst>
            <a:ext uri="{FF2B5EF4-FFF2-40B4-BE49-F238E27FC236}">
              <a16:creationId xmlns:a16="http://schemas.microsoft.com/office/drawing/2014/main" id="{00000000-0008-0000-1100-00000C010000}"/>
            </a:ext>
          </a:extLst>
        </xdr:cNvPr>
        <xdr:cNvSpPr>
          <a:spLocks/>
        </xdr:cNvSpPr>
      </xdr:nvSpPr>
      <xdr:spPr>
        <a:xfrm>
          <a:off x="7334250" y="178784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49</xdr:row>
      <xdr:rowOff>361950</xdr:rowOff>
    </xdr:from>
    <xdr:to>
      <xdr:col>20</xdr:col>
      <xdr:colOff>1758286</xdr:colOff>
      <xdr:row>51</xdr:row>
      <xdr:rowOff>312671</xdr:rowOff>
    </xdr:to>
    <xdr:sp macro="" textlink="">
      <xdr:nvSpPr>
        <xdr:cNvPr id="269" name="Rechteck 268">
          <a:extLst>
            <a:ext uri="{FF2B5EF4-FFF2-40B4-BE49-F238E27FC236}">
              <a16:creationId xmlns:a16="http://schemas.microsoft.com/office/drawing/2014/main" id="{00000000-0008-0000-1100-00000D010000}"/>
            </a:ext>
          </a:extLst>
        </xdr:cNvPr>
        <xdr:cNvSpPr>
          <a:spLocks/>
        </xdr:cNvSpPr>
      </xdr:nvSpPr>
      <xdr:spPr>
        <a:xfrm>
          <a:off x="8054836" y="178784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49</xdr:row>
      <xdr:rowOff>361950</xdr:rowOff>
    </xdr:from>
    <xdr:to>
      <xdr:col>20</xdr:col>
      <xdr:colOff>2478872</xdr:colOff>
      <xdr:row>51</xdr:row>
      <xdr:rowOff>312671</xdr:rowOff>
    </xdr:to>
    <xdr:sp macro="" textlink="">
      <xdr:nvSpPr>
        <xdr:cNvPr id="270" name="Rechteck 269">
          <a:extLst>
            <a:ext uri="{FF2B5EF4-FFF2-40B4-BE49-F238E27FC236}">
              <a16:creationId xmlns:a16="http://schemas.microsoft.com/office/drawing/2014/main" id="{00000000-0008-0000-1100-00000E010000}"/>
            </a:ext>
          </a:extLst>
        </xdr:cNvPr>
        <xdr:cNvSpPr>
          <a:spLocks/>
        </xdr:cNvSpPr>
      </xdr:nvSpPr>
      <xdr:spPr>
        <a:xfrm>
          <a:off x="8775422" y="178784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55</xdr:row>
      <xdr:rowOff>180975</xdr:rowOff>
    </xdr:from>
    <xdr:to>
      <xdr:col>20</xdr:col>
      <xdr:colOff>1037700</xdr:colOff>
      <xdr:row>57</xdr:row>
      <xdr:rowOff>331721</xdr:rowOff>
    </xdr:to>
    <xdr:sp macro="" textlink="">
      <xdr:nvSpPr>
        <xdr:cNvPr id="271" name="Rechteck 270">
          <a:extLst>
            <a:ext uri="{FF2B5EF4-FFF2-40B4-BE49-F238E27FC236}">
              <a16:creationId xmlns:a16="http://schemas.microsoft.com/office/drawing/2014/main" id="{00000000-0008-0000-1100-00000F010000}"/>
            </a:ext>
          </a:extLst>
        </xdr:cNvPr>
        <xdr:cNvSpPr>
          <a:spLocks/>
        </xdr:cNvSpPr>
      </xdr:nvSpPr>
      <xdr:spPr>
        <a:xfrm>
          <a:off x="7334250" y="200977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55</xdr:row>
      <xdr:rowOff>180975</xdr:rowOff>
    </xdr:from>
    <xdr:to>
      <xdr:col>20</xdr:col>
      <xdr:colOff>1758286</xdr:colOff>
      <xdr:row>57</xdr:row>
      <xdr:rowOff>331721</xdr:rowOff>
    </xdr:to>
    <xdr:sp macro="" textlink="">
      <xdr:nvSpPr>
        <xdr:cNvPr id="272" name="Rechteck 271">
          <a:extLst>
            <a:ext uri="{FF2B5EF4-FFF2-40B4-BE49-F238E27FC236}">
              <a16:creationId xmlns:a16="http://schemas.microsoft.com/office/drawing/2014/main" id="{00000000-0008-0000-1100-000010010000}"/>
            </a:ext>
          </a:extLst>
        </xdr:cNvPr>
        <xdr:cNvSpPr>
          <a:spLocks/>
        </xdr:cNvSpPr>
      </xdr:nvSpPr>
      <xdr:spPr>
        <a:xfrm>
          <a:off x="8054836" y="200977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55</xdr:row>
      <xdr:rowOff>180975</xdr:rowOff>
    </xdr:from>
    <xdr:to>
      <xdr:col>20</xdr:col>
      <xdr:colOff>2478872</xdr:colOff>
      <xdr:row>57</xdr:row>
      <xdr:rowOff>331721</xdr:rowOff>
    </xdr:to>
    <xdr:sp macro="" textlink="">
      <xdr:nvSpPr>
        <xdr:cNvPr id="273" name="Rechteck 272">
          <a:extLst>
            <a:ext uri="{FF2B5EF4-FFF2-40B4-BE49-F238E27FC236}">
              <a16:creationId xmlns:a16="http://schemas.microsoft.com/office/drawing/2014/main" id="{00000000-0008-0000-1100-000011010000}"/>
            </a:ext>
          </a:extLst>
        </xdr:cNvPr>
        <xdr:cNvSpPr>
          <a:spLocks/>
        </xdr:cNvSpPr>
      </xdr:nvSpPr>
      <xdr:spPr>
        <a:xfrm>
          <a:off x="8775422" y="200977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57</xdr:row>
      <xdr:rowOff>371475</xdr:rowOff>
    </xdr:from>
    <xdr:to>
      <xdr:col>20</xdr:col>
      <xdr:colOff>1037700</xdr:colOff>
      <xdr:row>59</xdr:row>
      <xdr:rowOff>322196</xdr:rowOff>
    </xdr:to>
    <xdr:sp macro="" textlink="">
      <xdr:nvSpPr>
        <xdr:cNvPr id="274" name="Rechteck 273">
          <a:extLst>
            <a:ext uri="{FF2B5EF4-FFF2-40B4-BE49-F238E27FC236}">
              <a16:creationId xmlns:a16="http://schemas.microsoft.com/office/drawing/2014/main" id="{00000000-0008-0000-1100-000012010000}"/>
            </a:ext>
          </a:extLst>
        </xdr:cNvPr>
        <xdr:cNvSpPr>
          <a:spLocks/>
        </xdr:cNvSpPr>
      </xdr:nvSpPr>
      <xdr:spPr>
        <a:xfrm>
          <a:off x="7334250" y="208883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57</xdr:row>
      <xdr:rowOff>371475</xdr:rowOff>
    </xdr:from>
    <xdr:to>
      <xdr:col>20</xdr:col>
      <xdr:colOff>1758286</xdr:colOff>
      <xdr:row>59</xdr:row>
      <xdr:rowOff>322196</xdr:rowOff>
    </xdr:to>
    <xdr:sp macro="" textlink="">
      <xdr:nvSpPr>
        <xdr:cNvPr id="275" name="Rechteck 274">
          <a:extLst>
            <a:ext uri="{FF2B5EF4-FFF2-40B4-BE49-F238E27FC236}">
              <a16:creationId xmlns:a16="http://schemas.microsoft.com/office/drawing/2014/main" id="{00000000-0008-0000-1100-000013010000}"/>
            </a:ext>
          </a:extLst>
        </xdr:cNvPr>
        <xdr:cNvSpPr>
          <a:spLocks/>
        </xdr:cNvSpPr>
      </xdr:nvSpPr>
      <xdr:spPr>
        <a:xfrm>
          <a:off x="8054836" y="208883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57</xdr:row>
      <xdr:rowOff>371475</xdr:rowOff>
    </xdr:from>
    <xdr:to>
      <xdr:col>20</xdr:col>
      <xdr:colOff>2478872</xdr:colOff>
      <xdr:row>59</xdr:row>
      <xdr:rowOff>322196</xdr:rowOff>
    </xdr:to>
    <xdr:sp macro="" textlink="">
      <xdr:nvSpPr>
        <xdr:cNvPr id="276" name="Rechteck 275">
          <a:extLst>
            <a:ext uri="{FF2B5EF4-FFF2-40B4-BE49-F238E27FC236}">
              <a16:creationId xmlns:a16="http://schemas.microsoft.com/office/drawing/2014/main" id="{00000000-0008-0000-1100-000014010000}"/>
            </a:ext>
          </a:extLst>
        </xdr:cNvPr>
        <xdr:cNvSpPr>
          <a:spLocks/>
        </xdr:cNvSpPr>
      </xdr:nvSpPr>
      <xdr:spPr>
        <a:xfrm>
          <a:off x="8775422" y="208883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62</xdr:row>
      <xdr:rowOff>171450</xdr:rowOff>
    </xdr:from>
    <xdr:to>
      <xdr:col>20</xdr:col>
      <xdr:colOff>1037700</xdr:colOff>
      <xdr:row>64</xdr:row>
      <xdr:rowOff>322196</xdr:rowOff>
    </xdr:to>
    <xdr:sp macro="" textlink="">
      <xdr:nvSpPr>
        <xdr:cNvPr id="277" name="Rechteck 276">
          <a:extLst>
            <a:ext uri="{FF2B5EF4-FFF2-40B4-BE49-F238E27FC236}">
              <a16:creationId xmlns:a16="http://schemas.microsoft.com/office/drawing/2014/main" id="{00000000-0008-0000-1100-000015010000}"/>
            </a:ext>
          </a:extLst>
        </xdr:cNvPr>
        <xdr:cNvSpPr>
          <a:spLocks/>
        </xdr:cNvSpPr>
      </xdr:nvSpPr>
      <xdr:spPr>
        <a:xfrm>
          <a:off x="7334250" y="226885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62</xdr:row>
      <xdr:rowOff>171450</xdr:rowOff>
    </xdr:from>
    <xdr:to>
      <xdr:col>20</xdr:col>
      <xdr:colOff>1758286</xdr:colOff>
      <xdr:row>64</xdr:row>
      <xdr:rowOff>322196</xdr:rowOff>
    </xdr:to>
    <xdr:sp macro="" textlink="">
      <xdr:nvSpPr>
        <xdr:cNvPr id="278" name="Rechteck 277">
          <a:extLst>
            <a:ext uri="{FF2B5EF4-FFF2-40B4-BE49-F238E27FC236}">
              <a16:creationId xmlns:a16="http://schemas.microsoft.com/office/drawing/2014/main" id="{00000000-0008-0000-1100-000016010000}"/>
            </a:ext>
          </a:extLst>
        </xdr:cNvPr>
        <xdr:cNvSpPr>
          <a:spLocks/>
        </xdr:cNvSpPr>
      </xdr:nvSpPr>
      <xdr:spPr>
        <a:xfrm>
          <a:off x="8054836" y="226885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62</xdr:row>
      <xdr:rowOff>171450</xdr:rowOff>
    </xdr:from>
    <xdr:to>
      <xdr:col>20</xdr:col>
      <xdr:colOff>2478872</xdr:colOff>
      <xdr:row>64</xdr:row>
      <xdr:rowOff>322196</xdr:rowOff>
    </xdr:to>
    <xdr:sp macro="" textlink="">
      <xdr:nvSpPr>
        <xdr:cNvPr id="279" name="Rechteck 278">
          <a:extLst>
            <a:ext uri="{FF2B5EF4-FFF2-40B4-BE49-F238E27FC236}">
              <a16:creationId xmlns:a16="http://schemas.microsoft.com/office/drawing/2014/main" id="{00000000-0008-0000-1100-000017010000}"/>
            </a:ext>
          </a:extLst>
        </xdr:cNvPr>
        <xdr:cNvSpPr>
          <a:spLocks/>
        </xdr:cNvSpPr>
      </xdr:nvSpPr>
      <xdr:spPr>
        <a:xfrm>
          <a:off x="8775422" y="226885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64</xdr:row>
      <xdr:rowOff>361950</xdr:rowOff>
    </xdr:from>
    <xdr:to>
      <xdr:col>20</xdr:col>
      <xdr:colOff>1037700</xdr:colOff>
      <xdr:row>66</xdr:row>
      <xdr:rowOff>312671</xdr:rowOff>
    </xdr:to>
    <xdr:sp macro="" textlink="">
      <xdr:nvSpPr>
        <xdr:cNvPr id="280" name="Rechteck 279">
          <a:extLst>
            <a:ext uri="{FF2B5EF4-FFF2-40B4-BE49-F238E27FC236}">
              <a16:creationId xmlns:a16="http://schemas.microsoft.com/office/drawing/2014/main" id="{00000000-0008-0000-1100-000018010000}"/>
            </a:ext>
          </a:extLst>
        </xdr:cNvPr>
        <xdr:cNvSpPr>
          <a:spLocks/>
        </xdr:cNvSpPr>
      </xdr:nvSpPr>
      <xdr:spPr>
        <a:xfrm>
          <a:off x="7334250" y="234791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64</xdr:row>
      <xdr:rowOff>361950</xdr:rowOff>
    </xdr:from>
    <xdr:to>
      <xdr:col>20</xdr:col>
      <xdr:colOff>1758286</xdr:colOff>
      <xdr:row>66</xdr:row>
      <xdr:rowOff>312671</xdr:rowOff>
    </xdr:to>
    <xdr:sp macro="" textlink="">
      <xdr:nvSpPr>
        <xdr:cNvPr id="281" name="Rechteck 280">
          <a:extLst>
            <a:ext uri="{FF2B5EF4-FFF2-40B4-BE49-F238E27FC236}">
              <a16:creationId xmlns:a16="http://schemas.microsoft.com/office/drawing/2014/main" id="{00000000-0008-0000-1100-000019010000}"/>
            </a:ext>
          </a:extLst>
        </xdr:cNvPr>
        <xdr:cNvSpPr>
          <a:spLocks/>
        </xdr:cNvSpPr>
      </xdr:nvSpPr>
      <xdr:spPr>
        <a:xfrm>
          <a:off x="8054836" y="234791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64</xdr:row>
      <xdr:rowOff>361950</xdr:rowOff>
    </xdr:from>
    <xdr:to>
      <xdr:col>20</xdr:col>
      <xdr:colOff>2478872</xdr:colOff>
      <xdr:row>66</xdr:row>
      <xdr:rowOff>312671</xdr:rowOff>
    </xdr:to>
    <xdr:sp macro="" textlink="">
      <xdr:nvSpPr>
        <xdr:cNvPr id="282" name="Rechteck 281">
          <a:extLst>
            <a:ext uri="{FF2B5EF4-FFF2-40B4-BE49-F238E27FC236}">
              <a16:creationId xmlns:a16="http://schemas.microsoft.com/office/drawing/2014/main" id="{00000000-0008-0000-1100-00001A010000}"/>
            </a:ext>
          </a:extLst>
        </xdr:cNvPr>
        <xdr:cNvSpPr>
          <a:spLocks/>
        </xdr:cNvSpPr>
      </xdr:nvSpPr>
      <xdr:spPr>
        <a:xfrm>
          <a:off x="8775422" y="234791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68</xdr:row>
      <xdr:rowOff>171450</xdr:rowOff>
    </xdr:from>
    <xdr:to>
      <xdr:col>20</xdr:col>
      <xdr:colOff>1037700</xdr:colOff>
      <xdr:row>70</xdr:row>
      <xdr:rowOff>322196</xdr:rowOff>
    </xdr:to>
    <xdr:sp macro="" textlink="">
      <xdr:nvSpPr>
        <xdr:cNvPr id="283" name="Rechteck 282">
          <a:extLst>
            <a:ext uri="{FF2B5EF4-FFF2-40B4-BE49-F238E27FC236}">
              <a16:creationId xmlns:a16="http://schemas.microsoft.com/office/drawing/2014/main" id="{00000000-0008-0000-1100-00001B010000}"/>
            </a:ext>
          </a:extLst>
        </xdr:cNvPr>
        <xdr:cNvSpPr>
          <a:spLocks/>
        </xdr:cNvSpPr>
      </xdr:nvSpPr>
      <xdr:spPr>
        <a:xfrm>
          <a:off x="7334250" y="248888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68</xdr:row>
      <xdr:rowOff>171450</xdr:rowOff>
    </xdr:from>
    <xdr:to>
      <xdr:col>20</xdr:col>
      <xdr:colOff>1758286</xdr:colOff>
      <xdr:row>70</xdr:row>
      <xdr:rowOff>322196</xdr:rowOff>
    </xdr:to>
    <xdr:sp macro="" textlink="">
      <xdr:nvSpPr>
        <xdr:cNvPr id="284" name="Rechteck 283">
          <a:extLst>
            <a:ext uri="{FF2B5EF4-FFF2-40B4-BE49-F238E27FC236}">
              <a16:creationId xmlns:a16="http://schemas.microsoft.com/office/drawing/2014/main" id="{00000000-0008-0000-1100-00001C010000}"/>
            </a:ext>
          </a:extLst>
        </xdr:cNvPr>
        <xdr:cNvSpPr>
          <a:spLocks/>
        </xdr:cNvSpPr>
      </xdr:nvSpPr>
      <xdr:spPr>
        <a:xfrm>
          <a:off x="8054836" y="248888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68</xdr:row>
      <xdr:rowOff>171450</xdr:rowOff>
    </xdr:from>
    <xdr:to>
      <xdr:col>20</xdr:col>
      <xdr:colOff>2478872</xdr:colOff>
      <xdr:row>70</xdr:row>
      <xdr:rowOff>322196</xdr:rowOff>
    </xdr:to>
    <xdr:sp macro="" textlink="">
      <xdr:nvSpPr>
        <xdr:cNvPr id="285" name="Rechteck 284">
          <a:extLst>
            <a:ext uri="{FF2B5EF4-FFF2-40B4-BE49-F238E27FC236}">
              <a16:creationId xmlns:a16="http://schemas.microsoft.com/office/drawing/2014/main" id="{00000000-0008-0000-1100-00001D010000}"/>
            </a:ext>
          </a:extLst>
        </xdr:cNvPr>
        <xdr:cNvSpPr>
          <a:spLocks/>
        </xdr:cNvSpPr>
      </xdr:nvSpPr>
      <xdr:spPr>
        <a:xfrm>
          <a:off x="8775422" y="248888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70</xdr:row>
      <xdr:rowOff>361950</xdr:rowOff>
    </xdr:from>
    <xdr:to>
      <xdr:col>20</xdr:col>
      <xdr:colOff>1037700</xdr:colOff>
      <xdr:row>72</xdr:row>
      <xdr:rowOff>312671</xdr:rowOff>
    </xdr:to>
    <xdr:sp macro="" textlink="">
      <xdr:nvSpPr>
        <xdr:cNvPr id="286" name="Rechteck 285">
          <a:extLst>
            <a:ext uri="{FF2B5EF4-FFF2-40B4-BE49-F238E27FC236}">
              <a16:creationId xmlns:a16="http://schemas.microsoft.com/office/drawing/2014/main" id="{00000000-0008-0000-1100-00001E010000}"/>
            </a:ext>
          </a:extLst>
        </xdr:cNvPr>
        <xdr:cNvSpPr>
          <a:spLocks/>
        </xdr:cNvSpPr>
      </xdr:nvSpPr>
      <xdr:spPr>
        <a:xfrm>
          <a:off x="7334250" y="256794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70</xdr:row>
      <xdr:rowOff>361950</xdr:rowOff>
    </xdr:from>
    <xdr:to>
      <xdr:col>20</xdr:col>
      <xdr:colOff>1758286</xdr:colOff>
      <xdr:row>72</xdr:row>
      <xdr:rowOff>312671</xdr:rowOff>
    </xdr:to>
    <xdr:sp macro="" textlink="">
      <xdr:nvSpPr>
        <xdr:cNvPr id="287" name="Rechteck 286">
          <a:extLst>
            <a:ext uri="{FF2B5EF4-FFF2-40B4-BE49-F238E27FC236}">
              <a16:creationId xmlns:a16="http://schemas.microsoft.com/office/drawing/2014/main" id="{00000000-0008-0000-1100-00001F010000}"/>
            </a:ext>
          </a:extLst>
        </xdr:cNvPr>
        <xdr:cNvSpPr>
          <a:spLocks/>
        </xdr:cNvSpPr>
      </xdr:nvSpPr>
      <xdr:spPr>
        <a:xfrm>
          <a:off x="8054836" y="256794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70</xdr:row>
      <xdr:rowOff>361950</xdr:rowOff>
    </xdr:from>
    <xdr:to>
      <xdr:col>20</xdr:col>
      <xdr:colOff>2478872</xdr:colOff>
      <xdr:row>72</xdr:row>
      <xdr:rowOff>312671</xdr:rowOff>
    </xdr:to>
    <xdr:sp macro="" textlink="">
      <xdr:nvSpPr>
        <xdr:cNvPr id="288" name="Rechteck 287">
          <a:extLst>
            <a:ext uri="{FF2B5EF4-FFF2-40B4-BE49-F238E27FC236}">
              <a16:creationId xmlns:a16="http://schemas.microsoft.com/office/drawing/2014/main" id="{00000000-0008-0000-1100-000020010000}"/>
            </a:ext>
          </a:extLst>
        </xdr:cNvPr>
        <xdr:cNvSpPr>
          <a:spLocks/>
        </xdr:cNvSpPr>
      </xdr:nvSpPr>
      <xdr:spPr>
        <a:xfrm>
          <a:off x="8775422" y="256794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31</xdr:row>
          <xdr:rowOff>9591</xdr:rowOff>
        </xdr:from>
        <xdr:to>
          <xdr:col>16</xdr:col>
          <xdr:colOff>76191</xdr:colOff>
          <xdr:row>31</xdr:row>
          <xdr:rowOff>203596</xdr:rowOff>
        </xdr:to>
        <xdr:grpSp>
          <xdr:nvGrpSpPr>
            <xdr:cNvPr id="289" name="Gruppieren 288">
              <a:extLst>
                <a:ext uri="{FF2B5EF4-FFF2-40B4-BE49-F238E27FC236}">
                  <a16:creationId xmlns:a16="http://schemas.microsoft.com/office/drawing/2014/main" id="{00000000-0008-0000-1100-000021010000}"/>
                </a:ext>
              </a:extLst>
            </xdr:cNvPr>
            <xdr:cNvGrpSpPr/>
          </xdr:nvGrpSpPr>
          <xdr:grpSpPr>
            <a:xfrm>
              <a:off x="4417688" y="1074617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105" name="Group Box 169" hidden="1">
                <a:extLst>
                  <a:ext uri="{63B3BB69-23CF-44E3-9099-C40C66FF867C}">
                    <a14:compatExt spid="_x0000_s40105"/>
                  </a:ext>
                  <a:ext uri="{FF2B5EF4-FFF2-40B4-BE49-F238E27FC236}">
                    <a16:creationId xmlns:a16="http://schemas.microsoft.com/office/drawing/2014/main" id="{00000000-0008-0000-1100-0000A9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06" name="Option Button 170" hidden="1">
                <a:extLst>
                  <a:ext uri="{63B3BB69-23CF-44E3-9099-C40C66FF867C}">
                    <a14:compatExt spid="_x0000_s40106"/>
                  </a:ext>
                  <a:ext uri="{FF2B5EF4-FFF2-40B4-BE49-F238E27FC236}">
                    <a16:creationId xmlns:a16="http://schemas.microsoft.com/office/drawing/2014/main" id="{00000000-0008-0000-1100-0000AA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7" name="Option Button 171" hidden="1">
                <a:extLst>
                  <a:ext uri="{63B3BB69-23CF-44E3-9099-C40C66FF867C}">
                    <a14:compatExt spid="_x0000_s40107"/>
                  </a:ext>
                  <a:ext uri="{FF2B5EF4-FFF2-40B4-BE49-F238E27FC236}">
                    <a16:creationId xmlns:a16="http://schemas.microsoft.com/office/drawing/2014/main" id="{00000000-0008-0000-1100-0000AB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8" name="Option Button 172" hidden="1">
                <a:extLst>
                  <a:ext uri="{63B3BB69-23CF-44E3-9099-C40C66FF867C}">
                    <a14:compatExt spid="_x0000_s40108"/>
                  </a:ext>
                  <a:ext uri="{FF2B5EF4-FFF2-40B4-BE49-F238E27FC236}">
                    <a16:creationId xmlns:a16="http://schemas.microsoft.com/office/drawing/2014/main" id="{00000000-0008-0000-1100-0000AC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9" name="Option Button 173" hidden="1">
                <a:extLst>
                  <a:ext uri="{63B3BB69-23CF-44E3-9099-C40C66FF867C}">
                    <a14:compatExt spid="_x0000_s40109"/>
                  </a:ext>
                  <a:ext uri="{FF2B5EF4-FFF2-40B4-BE49-F238E27FC236}">
                    <a16:creationId xmlns:a16="http://schemas.microsoft.com/office/drawing/2014/main" id="{00000000-0008-0000-1100-0000AD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10" name="Option Button 174" hidden="1">
                <a:extLst>
                  <a:ext uri="{63B3BB69-23CF-44E3-9099-C40C66FF867C}">
                    <a14:compatExt spid="_x0000_s40110"/>
                  </a:ext>
                  <a:ext uri="{FF2B5EF4-FFF2-40B4-BE49-F238E27FC236}">
                    <a16:creationId xmlns:a16="http://schemas.microsoft.com/office/drawing/2014/main" id="{00000000-0008-0000-1100-0000AE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32</xdr:row>
          <xdr:rowOff>66</xdr:rowOff>
        </xdr:from>
        <xdr:to>
          <xdr:col>16</xdr:col>
          <xdr:colOff>76191</xdr:colOff>
          <xdr:row>32</xdr:row>
          <xdr:rowOff>194071</xdr:rowOff>
        </xdr:to>
        <xdr:grpSp>
          <xdr:nvGrpSpPr>
            <xdr:cNvPr id="296" name="Gruppieren 295">
              <a:extLst>
                <a:ext uri="{FF2B5EF4-FFF2-40B4-BE49-F238E27FC236}">
                  <a16:creationId xmlns:a16="http://schemas.microsoft.com/office/drawing/2014/main" id="{00000000-0008-0000-1100-000028010000}"/>
                </a:ext>
              </a:extLst>
            </xdr:cNvPr>
            <xdr:cNvGrpSpPr/>
          </xdr:nvGrpSpPr>
          <xdr:grpSpPr>
            <a:xfrm>
              <a:off x="4417688" y="11132886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111" name="Group Box 175" hidden="1">
                <a:extLst>
                  <a:ext uri="{63B3BB69-23CF-44E3-9099-C40C66FF867C}">
                    <a14:compatExt spid="_x0000_s40111"/>
                  </a:ext>
                  <a:ext uri="{FF2B5EF4-FFF2-40B4-BE49-F238E27FC236}">
                    <a16:creationId xmlns:a16="http://schemas.microsoft.com/office/drawing/2014/main" id="{00000000-0008-0000-1100-0000AF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12" name="Option Button 176" hidden="1">
                <a:extLst>
                  <a:ext uri="{63B3BB69-23CF-44E3-9099-C40C66FF867C}">
                    <a14:compatExt spid="_x0000_s40112"/>
                  </a:ext>
                  <a:ext uri="{FF2B5EF4-FFF2-40B4-BE49-F238E27FC236}">
                    <a16:creationId xmlns:a16="http://schemas.microsoft.com/office/drawing/2014/main" id="{00000000-0008-0000-1100-0000B0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13" name="Option Button 177" hidden="1">
                <a:extLst>
                  <a:ext uri="{63B3BB69-23CF-44E3-9099-C40C66FF867C}">
                    <a14:compatExt spid="_x0000_s40113"/>
                  </a:ext>
                  <a:ext uri="{FF2B5EF4-FFF2-40B4-BE49-F238E27FC236}">
                    <a16:creationId xmlns:a16="http://schemas.microsoft.com/office/drawing/2014/main" id="{00000000-0008-0000-1100-0000B1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14" name="Option Button 178" hidden="1">
                <a:extLst>
                  <a:ext uri="{63B3BB69-23CF-44E3-9099-C40C66FF867C}">
                    <a14:compatExt spid="_x0000_s40114"/>
                  </a:ext>
                  <a:ext uri="{FF2B5EF4-FFF2-40B4-BE49-F238E27FC236}">
                    <a16:creationId xmlns:a16="http://schemas.microsoft.com/office/drawing/2014/main" id="{00000000-0008-0000-1100-0000B2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15" name="Option Button 179" hidden="1">
                <a:extLst>
                  <a:ext uri="{63B3BB69-23CF-44E3-9099-C40C66FF867C}">
                    <a14:compatExt spid="_x0000_s40115"/>
                  </a:ext>
                  <a:ext uri="{FF2B5EF4-FFF2-40B4-BE49-F238E27FC236}">
                    <a16:creationId xmlns:a16="http://schemas.microsoft.com/office/drawing/2014/main" id="{00000000-0008-0000-1100-0000B3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16" name="Option Button 180" hidden="1">
                <a:extLst>
                  <a:ext uri="{63B3BB69-23CF-44E3-9099-C40C66FF867C}">
                    <a14:compatExt spid="_x0000_s40116"/>
                  </a:ext>
                  <a:ext uri="{FF2B5EF4-FFF2-40B4-BE49-F238E27FC236}">
                    <a16:creationId xmlns:a16="http://schemas.microsoft.com/office/drawing/2014/main" id="{00000000-0008-0000-1100-0000B4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33</xdr:row>
          <xdr:rowOff>19116</xdr:rowOff>
        </xdr:from>
        <xdr:to>
          <xdr:col>16</xdr:col>
          <xdr:colOff>76191</xdr:colOff>
          <xdr:row>33</xdr:row>
          <xdr:rowOff>213121</xdr:rowOff>
        </xdr:to>
        <xdr:grpSp>
          <xdr:nvGrpSpPr>
            <xdr:cNvPr id="303" name="Gruppieren 302">
              <a:extLst>
                <a:ext uri="{FF2B5EF4-FFF2-40B4-BE49-F238E27FC236}">
                  <a16:creationId xmlns:a16="http://schemas.microsoft.com/office/drawing/2014/main" id="{00000000-0008-0000-1100-00002F010000}"/>
                </a:ext>
              </a:extLst>
            </xdr:cNvPr>
            <xdr:cNvGrpSpPr/>
          </xdr:nvGrpSpPr>
          <xdr:grpSpPr>
            <a:xfrm>
              <a:off x="4417688" y="11548176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117" name="Group Box 181" hidden="1">
                <a:extLst>
                  <a:ext uri="{63B3BB69-23CF-44E3-9099-C40C66FF867C}">
                    <a14:compatExt spid="_x0000_s40117"/>
                  </a:ext>
                  <a:ext uri="{FF2B5EF4-FFF2-40B4-BE49-F238E27FC236}">
                    <a16:creationId xmlns:a16="http://schemas.microsoft.com/office/drawing/2014/main" id="{00000000-0008-0000-1100-0000B5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18" name="Option Button 182" hidden="1">
                <a:extLst>
                  <a:ext uri="{63B3BB69-23CF-44E3-9099-C40C66FF867C}">
                    <a14:compatExt spid="_x0000_s40118"/>
                  </a:ext>
                  <a:ext uri="{FF2B5EF4-FFF2-40B4-BE49-F238E27FC236}">
                    <a16:creationId xmlns:a16="http://schemas.microsoft.com/office/drawing/2014/main" id="{00000000-0008-0000-1100-0000B6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19" name="Option Button 183" hidden="1">
                <a:extLst>
                  <a:ext uri="{63B3BB69-23CF-44E3-9099-C40C66FF867C}">
                    <a14:compatExt spid="_x0000_s40119"/>
                  </a:ext>
                  <a:ext uri="{FF2B5EF4-FFF2-40B4-BE49-F238E27FC236}">
                    <a16:creationId xmlns:a16="http://schemas.microsoft.com/office/drawing/2014/main" id="{00000000-0008-0000-1100-0000B7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0" name="Option Button 184" hidden="1">
                <a:extLst>
                  <a:ext uri="{63B3BB69-23CF-44E3-9099-C40C66FF867C}">
                    <a14:compatExt spid="_x0000_s40120"/>
                  </a:ext>
                  <a:ext uri="{FF2B5EF4-FFF2-40B4-BE49-F238E27FC236}">
                    <a16:creationId xmlns:a16="http://schemas.microsoft.com/office/drawing/2014/main" id="{00000000-0008-0000-1100-0000B8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1" name="Option Button 185" hidden="1">
                <a:extLst>
                  <a:ext uri="{63B3BB69-23CF-44E3-9099-C40C66FF867C}">
                    <a14:compatExt spid="_x0000_s40121"/>
                  </a:ext>
                  <a:ext uri="{FF2B5EF4-FFF2-40B4-BE49-F238E27FC236}">
                    <a16:creationId xmlns:a16="http://schemas.microsoft.com/office/drawing/2014/main" id="{00000000-0008-0000-1100-0000B9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2" name="Option Button 186" hidden="1">
                <a:extLst>
                  <a:ext uri="{63B3BB69-23CF-44E3-9099-C40C66FF867C}">
                    <a14:compatExt spid="_x0000_s40122"/>
                  </a:ext>
                  <a:ext uri="{FF2B5EF4-FFF2-40B4-BE49-F238E27FC236}">
                    <a16:creationId xmlns:a16="http://schemas.microsoft.com/office/drawing/2014/main" id="{00000000-0008-0000-1100-0000BA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34</xdr:row>
          <xdr:rowOff>9591</xdr:rowOff>
        </xdr:from>
        <xdr:to>
          <xdr:col>16</xdr:col>
          <xdr:colOff>76191</xdr:colOff>
          <xdr:row>34</xdr:row>
          <xdr:rowOff>203596</xdr:rowOff>
        </xdr:to>
        <xdr:grpSp>
          <xdr:nvGrpSpPr>
            <xdr:cNvPr id="310" name="Gruppieren 309">
              <a:extLst>
                <a:ext uri="{FF2B5EF4-FFF2-40B4-BE49-F238E27FC236}">
                  <a16:creationId xmlns:a16="http://schemas.microsoft.com/office/drawing/2014/main" id="{00000000-0008-0000-1100-000036010000}"/>
                </a:ext>
              </a:extLst>
            </xdr:cNvPr>
            <xdr:cNvGrpSpPr/>
          </xdr:nvGrpSpPr>
          <xdr:grpSpPr>
            <a:xfrm>
              <a:off x="4417688" y="1193489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123" name="Group Box 187" hidden="1">
                <a:extLst>
                  <a:ext uri="{63B3BB69-23CF-44E3-9099-C40C66FF867C}">
                    <a14:compatExt spid="_x0000_s40123"/>
                  </a:ext>
                  <a:ext uri="{FF2B5EF4-FFF2-40B4-BE49-F238E27FC236}">
                    <a16:creationId xmlns:a16="http://schemas.microsoft.com/office/drawing/2014/main" id="{00000000-0008-0000-1100-0000BB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24" name="Option Button 188" hidden="1">
                <a:extLst>
                  <a:ext uri="{63B3BB69-23CF-44E3-9099-C40C66FF867C}">
                    <a14:compatExt spid="_x0000_s40124"/>
                  </a:ext>
                  <a:ext uri="{FF2B5EF4-FFF2-40B4-BE49-F238E27FC236}">
                    <a16:creationId xmlns:a16="http://schemas.microsoft.com/office/drawing/2014/main" id="{00000000-0008-0000-1100-0000BC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5" name="Option Button 189" hidden="1">
                <a:extLst>
                  <a:ext uri="{63B3BB69-23CF-44E3-9099-C40C66FF867C}">
                    <a14:compatExt spid="_x0000_s40125"/>
                  </a:ext>
                  <a:ext uri="{FF2B5EF4-FFF2-40B4-BE49-F238E27FC236}">
                    <a16:creationId xmlns:a16="http://schemas.microsoft.com/office/drawing/2014/main" id="{00000000-0008-0000-1100-0000BD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6" name="Option Button 190" hidden="1">
                <a:extLst>
                  <a:ext uri="{63B3BB69-23CF-44E3-9099-C40C66FF867C}">
                    <a14:compatExt spid="_x0000_s40126"/>
                  </a:ext>
                  <a:ext uri="{FF2B5EF4-FFF2-40B4-BE49-F238E27FC236}">
                    <a16:creationId xmlns:a16="http://schemas.microsoft.com/office/drawing/2014/main" id="{00000000-0008-0000-1100-0000BE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7" name="Option Button 191" hidden="1">
                <a:extLst>
                  <a:ext uri="{63B3BB69-23CF-44E3-9099-C40C66FF867C}">
                    <a14:compatExt spid="_x0000_s40127"/>
                  </a:ext>
                  <a:ext uri="{FF2B5EF4-FFF2-40B4-BE49-F238E27FC236}">
                    <a16:creationId xmlns:a16="http://schemas.microsoft.com/office/drawing/2014/main" id="{00000000-0008-0000-1100-0000BF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8" name="Option Button 192" hidden="1">
                <a:extLst>
                  <a:ext uri="{63B3BB69-23CF-44E3-9099-C40C66FF867C}">
                    <a14:compatExt spid="_x0000_s40128"/>
                  </a:ext>
                  <a:ext uri="{FF2B5EF4-FFF2-40B4-BE49-F238E27FC236}">
                    <a16:creationId xmlns:a16="http://schemas.microsoft.com/office/drawing/2014/main" id="{00000000-0008-0000-1100-0000C0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35</xdr:row>
          <xdr:rowOff>66</xdr:rowOff>
        </xdr:from>
        <xdr:to>
          <xdr:col>16</xdr:col>
          <xdr:colOff>76191</xdr:colOff>
          <xdr:row>35</xdr:row>
          <xdr:rowOff>194071</xdr:rowOff>
        </xdr:to>
        <xdr:grpSp>
          <xdr:nvGrpSpPr>
            <xdr:cNvPr id="317" name="Gruppieren 316">
              <a:extLst>
                <a:ext uri="{FF2B5EF4-FFF2-40B4-BE49-F238E27FC236}">
                  <a16:creationId xmlns:a16="http://schemas.microsoft.com/office/drawing/2014/main" id="{00000000-0008-0000-1100-00003D010000}"/>
                </a:ext>
              </a:extLst>
            </xdr:cNvPr>
            <xdr:cNvGrpSpPr/>
          </xdr:nvGrpSpPr>
          <xdr:grpSpPr>
            <a:xfrm>
              <a:off x="4417688" y="12321606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129" name="Group Box 193" hidden="1">
                <a:extLst>
                  <a:ext uri="{63B3BB69-23CF-44E3-9099-C40C66FF867C}">
                    <a14:compatExt spid="_x0000_s40129"/>
                  </a:ext>
                  <a:ext uri="{FF2B5EF4-FFF2-40B4-BE49-F238E27FC236}">
                    <a16:creationId xmlns:a16="http://schemas.microsoft.com/office/drawing/2014/main" id="{00000000-0008-0000-1100-0000C1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30" name="Option Button 194" hidden="1">
                <a:extLst>
                  <a:ext uri="{63B3BB69-23CF-44E3-9099-C40C66FF867C}">
                    <a14:compatExt spid="_x0000_s40130"/>
                  </a:ext>
                  <a:ext uri="{FF2B5EF4-FFF2-40B4-BE49-F238E27FC236}">
                    <a16:creationId xmlns:a16="http://schemas.microsoft.com/office/drawing/2014/main" id="{00000000-0008-0000-1100-0000C2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1" name="Option Button 195" hidden="1">
                <a:extLst>
                  <a:ext uri="{63B3BB69-23CF-44E3-9099-C40C66FF867C}">
                    <a14:compatExt spid="_x0000_s40131"/>
                  </a:ext>
                  <a:ext uri="{FF2B5EF4-FFF2-40B4-BE49-F238E27FC236}">
                    <a16:creationId xmlns:a16="http://schemas.microsoft.com/office/drawing/2014/main" id="{00000000-0008-0000-1100-0000C3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2" name="Option Button 196" hidden="1">
                <a:extLst>
                  <a:ext uri="{63B3BB69-23CF-44E3-9099-C40C66FF867C}">
                    <a14:compatExt spid="_x0000_s40132"/>
                  </a:ext>
                  <a:ext uri="{FF2B5EF4-FFF2-40B4-BE49-F238E27FC236}">
                    <a16:creationId xmlns:a16="http://schemas.microsoft.com/office/drawing/2014/main" id="{00000000-0008-0000-1100-0000C4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3" name="Option Button 197" hidden="1">
                <a:extLst>
                  <a:ext uri="{63B3BB69-23CF-44E3-9099-C40C66FF867C}">
                    <a14:compatExt spid="_x0000_s40133"/>
                  </a:ext>
                  <a:ext uri="{FF2B5EF4-FFF2-40B4-BE49-F238E27FC236}">
                    <a16:creationId xmlns:a16="http://schemas.microsoft.com/office/drawing/2014/main" id="{00000000-0008-0000-1100-0000C5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4" name="Option Button 198" hidden="1">
                <a:extLst>
                  <a:ext uri="{63B3BB69-23CF-44E3-9099-C40C66FF867C}">
                    <a14:compatExt spid="_x0000_s40134"/>
                  </a:ext>
                  <a:ext uri="{FF2B5EF4-FFF2-40B4-BE49-F238E27FC236}">
                    <a16:creationId xmlns:a16="http://schemas.microsoft.com/office/drawing/2014/main" id="{00000000-0008-0000-1100-0000C6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36</xdr:row>
          <xdr:rowOff>9591</xdr:rowOff>
        </xdr:from>
        <xdr:to>
          <xdr:col>16</xdr:col>
          <xdr:colOff>76191</xdr:colOff>
          <xdr:row>36</xdr:row>
          <xdr:rowOff>203596</xdr:rowOff>
        </xdr:to>
        <xdr:grpSp>
          <xdr:nvGrpSpPr>
            <xdr:cNvPr id="324" name="Gruppieren 323">
              <a:extLst>
                <a:ext uri="{FF2B5EF4-FFF2-40B4-BE49-F238E27FC236}">
                  <a16:creationId xmlns:a16="http://schemas.microsoft.com/office/drawing/2014/main" id="{00000000-0008-0000-1100-000044010000}"/>
                </a:ext>
              </a:extLst>
            </xdr:cNvPr>
            <xdr:cNvGrpSpPr/>
          </xdr:nvGrpSpPr>
          <xdr:grpSpPr>
            <a:xfrm>
              <a:off x="4417688" y="1272737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135" name="Group Box 199" hidden="1">
                <a:extLst>
                  <a:ext uri="{63B3BB69-23CF-44E3-9099-C40C66FF867C}">
                    <a14:compatExt spid="_x0000_s40135"/>
                  </a:ext>
                  <a:ext uri="{FF2B5EF4-FFF2-40B4-BE49-F238E27FC236}">
                    <a16:creationId xmlns:a16="http://schemas.microsoft.com/office/drawing/2014/main" id="{00000000-0008-0000-1100-0000C7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36" name="Option Button 200" hidden="1">
                <a:extLst>
                  <a:ext uri="{63B3BB69-23CF-44E3-9099-C40C66FF867C}">
                    <a14:compatExt spid="_x0000_s40136"/>
                  </a:ext>
                  <a:ext uri="{FF2B5EF4-FFF2-40B4-BE49-F238E27FC236}">
                    <a16:creationId xmlns:a16="http://schemas.microsoft.com/office/drawing/2014/main" id="{00000000-0008-0000-1100-0000C8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7" name="Option Button 201" hidden="1">
                <a:extLst>
                  <a:ext uri="{63B3BB69-23CF-44E3-9099-C40C66FF867C}">
                    <a14:compatExt spid="_x0000_s40137"/>
                  </a:ext>
                  <a:ext uri="{FF2B5EF4-FFF2-40B4-BE49-F238E27FC236}">
                    <a16:creationId xmlns:a16="http://schemas.microsoft.com/office/drawing/2014/main" id="{00000000-0008-0000-1100-0000C9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8" name="Option Button 202" hidden="1">
                <a:extLst>
                  <a:ext uri="{63B3BB69-23CF-44E3-9099-C40C66FF867C}">
                    <a14:compatExt spid="_x0000_s40138"/>
                  </a:ext>
                  <a:ext uri="{FF2B5EF4-FFF2-40B4-BE49-F238E27FC236}">
                    <a16:creationId xmlns:a16="http://schemas.microsoft.com/office/drawing/2014/main" id="{00000000-0008-0000-1100-0000CA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9" name="Option Button 203" hidden="1">
                <a:extLst>
                  <a:ext uri="{63B3BB69-23CF-44E3-9099-C40C66FF867C}">
                    <a14:compatExt spid="_x0000_s40139"/>
                  </a:ext>
                  <a:ext uri="{FF2B5EF4-FFF2-40B4-BE49-F238E27FC236}">
                    <a16:creationId xmlns:a16="http://schemas.microsoft.com/office/drawing/2014/main" id="{00000000-0008-0000-1100-0000CB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40" name="Option Button 204" hidden="1">
                <a:extLst>
                  <a:ext uri="{63B3BB69-23CF-44E3-9099-C40C66FF867C}">
                    <a14:compatExt spid="_x0000_s40140"/>
                  </a:ext>
                  <a:ext uri="{FF2B5EF4-FFF2-40B4-BE49-F238E27FC236}">
                    <a16:creationId xmlns:a16="http://schemas.microsoft.com/office/drawing/2014/main" id="{00000000-0008-0000-1100-0000CC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37</xdr:row>
          <xdr:rowOff>66</xdr:rowOff>
        </xdr:from>
        <xdr:to>
          <xdr:col>16</xdr:col>
          <xdr:colOff>76191</xdr:colOff>
          <xdr:row>37</xdr:row>
          <xdr:rowOff>194071</xdr:rowOff>
        </xdr:to>
        <xdr:grpSp>
          <xdr:nvGrpSpPr>
            <xdr:cNvPr id="331" name="Gruppieren 330">
              <a:extLst>
                <a:ext uri="{FF2B5EF4-FFF2-40B4-BE49-F238E27FC236}">
                  <a16:creationId xmlns:a16="http://schemas.microsoft.com/office/drawing/2014/main" id="{00000000-0008-0000-1100-00004B010000}"/>
                </a:ext>
              </a:extLst>
            </xdr:cNvPr>
            <xdr:cNvGrpSpPr/>
          </xdr:nvGrpSpPr>
          <xdr:grpSpPr>
            <a:xfrm>
              <a:off x="4417688" y="13114086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141" name="Group Box 205" hidden="1">
                <a:extLst>
                  <a:ext uri="{63B3BB69-23CF-44E3-9099-C40C66FF867C}">
                    <a14:compatExt spid="_x0000_s40141"/>
                  </a:ext>
                  <a:ext uri="{FF2B5EF4-FFF2-40B4-BE49-F238E27FC236}">
                    <a16:creationId xmlns:a16="http://schemas.microsoft.com/office/drawing/2014/main" id="{00000000-0008-0000-1100-0000CD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42" name="Option Button 206" hidden="1">
                <a:extLst>
                  <a:ext uri="{63B3BB69-23CF-44E3-9099-C40C66FF867C}">
                    <a14:compatExt spid="_x0000_s40142"/>
                  </a:ext>
                  <a:ext uri="{FF2B5EF4-FFF2-40B4-BE49-F238E27FC236}">
                    <a16:creationId xmlns:a16="http://schemas.microsoft.com/office/drawing/2014/main" id="{00000000-0008-0000-1100-0000CE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43" name="Option Button 207" hidden="1">
                <a:extLst>
                  <a:ext uri="{63B3BB69-23CF-44E3-9099-C40C66FF867C}">
                    <a14:compatExt spid="_x0000_s40143"/>
                  </a:ext>
                  <a:ext uri="{FF2B5EF4-FFF2-40B4-BE49-F238E27FC236}">
                    <a16:creationId xmlns:a16="http://schemas.microsoft.com/office/drawing/2014/main" id="{00000000-0008-0000-1100-0000CF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44" name="Option Button 208" hidden="1">
                <a:extLst>
                  <a:ext uri="{63B3BB69-23CF-44E3-9099-C40C66FF867C}">
                    <a14:compatExt spid="_x0000_s40144"/>
                  </a:ext>
                  <a:ext uri="{FF2B5EF4-FFF2-40B4-BE49-F238E27FC236}">
                    <a16:creationId xmlns:a16="http://schemas.microsoft.com/office/drawing/2014/main" id="{00000000-0008-0000-1100-0000D0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45" name="Option Button 209" hidden="1">
                <a:extLst>
                  <a:ext uri="{63B3BB69-23CF-44E3-9099-C40C66FF867C}">
                    <a14:compatExt spid="_x0000_s40145"/>
                  </a:ext>
                  <a:ext uri="{FF2B5EF4-FFF2-40B4-BE49-F238E27FC236}">
                    <a16:creationId xmlns:a16="http://schemas.microsoft.com/office/drawing/2014/main" id="{00000000-0008-0000-1100-0000D1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46" name="Option Button 210" hidden="1">
                <a:extLst>
                  <a:ext uri="{63B3BB69-23CF-44E3-9099-C40C66FF867C}">
                    <a14:compatExt spid="_x0000_s40146"/>
                  </a:ext>
                  <a:ext uri="{FF2B5EF4-FFF2-40B4-BE49-F238E27FC236}">
                    <a16:creationId xmlns:a16="http://schemas.microsoft.com/office/drawing/2014/main" id="{00000000-0008-0000-1100-0000D2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30</xdr:row>
      <xdr:rowOff>76199</xdr:rowOff>
    </xdr:from>
    <xdr:to>
      <xdr:col>21</xdr:col>
      <xdr:colOff>133349</xdr:colOff>
      <xdr:row>35</xdr:row>
      <xdr:rowOff>228599</xdr:rowOff>
    </xdr:to>
    <xdr:graphicFrame macro="">
      <xdr:nvGraphicFramePr>
        <xdr:cNvPr id="338" name="Diagramm 337">
          <a:extLst>
            <a:ext uri="{FF2B5EF4-FFF2-40B4-BE49-F238E27FC236}">
              <a16:creationId xmlns:a16="http://schemas.microsoft.com/office/drawing/2014/main" id="{00000000-0008-0000-1100-000052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40</xdr:row>
          <xdr:rowOff>28578</xdr:rowOff>
        </xdr:from>
        <xdr:to>
          <xdr:col>16</xdr:col>
          <xdr:colOff>76181</xdr:colOff>
          <xdr:row>40</xdr:row>
          <xdr:rowOff>204311</xdr:rowOff>
        </xdr:to>
        <xdr:grpSp>
          <xdr:nvGrpSpPr>
            <xdr:cNvPr id="339" name="Gruppieren 338">
              <a:extLst>
                <a:ext uri="{FF2B5EF4-FFF2-40B4-BE49-F238E27FC236}">
                  <a16:creationId xmlns:a16="http://schemas.microsoft.com/office/drawing/2014/main" id="{00000000-0008-0000-1100-000053010000}"/>
                </a:ext>
              </a:extLst>
            </xdr:cNvPr>
            <xdr:cNvGrpSpPr/>
          </xdr:nvGrpSpPr>
          <xdr:grpSpPr>
            <a:xfrm>
              <a:off x="4417682" y="1413319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147" name="Group Box 211" hidden="1">
                <a:extLst>
                  <a:ext uri="{63B3BB69-23CF-44E3-9099-C40C66FF867C}">
                    <a14:compatExt spid="_x0000_s40147"/>
                  </a:ext>
                  <a:ext uri="{FF2B5EF4-FFF2-40B4-BE49-F238E27FC236}">
                    <a16:creationId xmlns:a16="http://schemas.microsoft.com/office/drawing/2014/main" id="{00000000-0008-0000-1100-0000D39C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48" name="Option Button 212" hidden="1">
                <a:extLst>
                  <a:ext uri="{63B3BB69-23CF-44E3-9099-C40C66FF867C}">
                    <a14:compatExt spid="_x0000_s40148"/>
                  </a:ext>
                  <a:ext uri="{FF2B5EF4-FFF2-40B4-BE49-F238E27FC236}">
                    <a16:creationId xmlns:a16="http://schemas.microsoft.com/office/drawing/2014/main" id="{00000000-0008-0000-1100-0000D49C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49" name="Option Button 213" hidden="1">
                <a:extLst>
                  <a:ext uri="{63B3BB69-23CF-44E3-9099-C40C66FF867C}">
                    <a14:compatExt spid="_x0000_s40149"/>
                  </a:ext>
                  <a:ext uri="{FF2B5EF4-FFF2-40B4-BE49-F238E27FC236}">
                    <a16:creationId xmlns:a16="http://schemas.microsoft.com/office/drawing/2014/main" id="{00000000-0008-0000-1100-0000D59C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0" name="Option Button 214" hidden="1">
                <a:extLst>
                  <a:ext uri="{63B3BB69-23CF-44E3-9099-C40C66FF867C}">
                    <a14:compatExt spid="_x0000_s40150"/>
                  </a:ext>
                  <a:ext uri="{FF2B5EF4-FFF2-40B4-BE49-F238E27FC236}">
                    <a16:creationId xmlns:a16="http://schemas.microsoft.com/office/drawing/2014/main" id="{00000000-0008-0000-1100-0000D69C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1" name="Option Button 215" hidden="1">
                <a:extLst>
                  <a:ext uri="{63B3BB69-23CF-44E3-9099-C40C66FF867C}">
                    <a14:compatExt spid="_x0000_s40151"/>
                  </a:ext>
                  <a:ext uri="{FF2B5EF4-FFF2-40B4-BE49-F238E27FC236}">
                    <a16:creationId xmlns:a16="http://schemas.microsoft.com/office/drawing/2014/main" id="{00000000-0008-0000-1100-0000D79C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2" name="Option Button 216" hidden="1">
                <a:extLst>
                  <a:ext uri="{63B3BB69-23CF-44E3-9099-C40C66FF867C}">
                    <a14:compatExt spid="_x0000_s40152"/>
                  </a:ext>
                  <a:ext uri="{FF2B5EF4-FFF2-40B4-BE49-F238E27FC236}">
                    <a16:creationId xmlns:a16="http://schemas.microsoft.com/office/drawing/2014/main" id="{00000000-0008-0000-1100-0000D89C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41</xdr:row>
          <xdr:rowOff>19053</xdr:rowOff>
        </xdr:from>
        <xdr:to>
          <xdr:col>16</xdr:col>
          <xdr:colOff>76181</xdr:colOff>
          <xdr:row>41</xdr:row>
          <xdr:rowOff>194786</xdr:rowOff>
        </xdr:to>
        <xdr:grpSp>
          <xdr:nvGrpSpPr>
            <xdr:cNvPr id="346" name="Gruppieren 345">
              <a:extLst>
                <a:ext uri="{FF2B5EF4-FFF2-40B4-BE49-F238E27FC236}">
                  <a16:creationId xmlns:a16="http://schemas.microsoft.com/office/drawing/2014/main" id="{00000000-0008-0000-1100-00005A010000}"/>
                </a:ext>
              </a:extLst>
            </xdr:cNvPr>
            <xdr:cNvGrpSpPr/>
          </xdr:nvGrpSpPr>
          <xdr:grpSpPr>
            <a:xfrm>
              <a:off x="4417682" y="14519913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153" name="Group Box 217" hidden="1">
                <a:extLst>
                  <a:ext uri="{63B3BB69-23CF-44E3-9099-C40C66FF867C}">
                    <a14:compatExt spid="_x0000_s40153"/>
                  </a:ext>
                  <a:ext uri="{FF2B5EF4-FFF2-40B4-BE49-F238E27FC236}">
                    <a16:creationId xmlns:a16="http://schemas.microsoft.com/office/drawing/2014/main" id="{00000000-0008-0000-1100-0000D99C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54" name="Option Button 218" hidden="1">
                <a:extLst>
                  <a:ext uri="{63B3BB69-23CF-44E3-9099-C40C66FF867C}">
                    <a14:compatExt spid="_x0000_s40154"/>
                  </a:ext>
                  <a:ext uri="{FF2B5EF4-FFF2-40B4-BE49-F238E27FC236}">
                    <a16:creationId xmlns:a16="http://schemas.microsoft.com/office/drawing/2014/main" id="{00000000-0008-0000-1100-0000DA9C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5" name="Option Button 219" hidden="1">
                <a:extLst>
                  <a:ext uri="{63B3BB69-23CF-44E3-9099-C40C66FF867C}">
                    <a14:compatExt spid="_x0000_s40155"/>
                  </a:ext>
                  <a:ext uri="{FF2B5EF4-FFF2-40B4-BE49-F238E27FC236}">
                    <a16:creationId xmlns:a16="http://schemas.microsoft.com/office/drawing/2014/main" id="{00000000-0008-0000-1100-0000DB9C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6" name="Option Button 220" hidden="1">
                <a:extLst>
                  <a:ext uri="{63B3BB69-23CF-44E3-9099-C40C66FF867C}">
                    <a14:compatExt spid="_x0000_s40156"/>
                  </a:ext>
                  <a:ext uri="{FF2B5EF4-FFF2-40B4-BE49-F238E27FC236}">
                    <a16:creationId xmlns:a16="http://schemas.microsoft.com/office/drawing/2014/main" id="{00000000-0008-0000-1100-0000DC9C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7" name="Option Button 221" hidden="1">
                <a:extLst>
                  <a:ext uri="{63B3BB69-23CF-44E3-9099-C40C66FF867C}">
                    <a14:compatExt spid="_x0000_s40157"/>
                  </a:ext>
                  <a:ext uri="{FF2B5EF4-FFF2-40B4-BE49-F238E27FC236}">
                    <a16:creationId xmlns:a16="http://schemas.microsoft.com/office/drawing/2014/main" id="{00000000-0008-0000-1100-0000DD9C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8" name="Option Button 222" hidden="1">
                <a:extLst>
                  <a:ext uri="{63B3BB69-23CF-44E3-9099-C40C66FF867C}">
                    <a14:compatExt spid="_x0000_s40158"/>
                  </a:ext>
                  <a:ext uri="{FF2B5EF4-FFF2-40B4-BE49-F238E27FC236}">
                    <a16:creationId xmlns:a16="http://schemas.microsoft.com/office/drawing/2014/main" id="{00000000-0008-0000-1100-0000DE9C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42</xdr:row>
          <xdr:rowOff>28578</xdr:rowOff>
        </xdr:from>
        <xdr:to>
          <xdr:col>16</xdr:col>
          <xdr:colOff>76181</xdr:colOff>
          <xdr:row>42</xdr:row>
          <xdr:rowOff>204311</xdr:rowOff>
        </xdr:to>
        <xdr:grpSp>
          <xdr:nvGrpSpPr>
            <xdr:cNvPr id="353" name="Gruppieren 352">
              <a:extLst>
                <a:ext uri="{FF2B5EF4-FFF2-40B4-BE49-F238E27FC236}">
                  <a16:creationId xmlns:a16="http://schemas.microsoft.com/office/drawing/2014/main" id="{00000000-0008-0000-1100-000061010000}"/>
                </a:ext>
              </a:extLst>
            </xdr:cNvPr>
            <xdr:cNvGrpSpPr/>
          </xdr:nvGrpSpPr>
          <xdr:grpSpPr>
            <a:xfrm>
              <a:off x="4417682" y="1492567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159" name="Group Box 223" hidden="1">
                <a:extLst>
                  <a:ext uri="{63B3BB69-23CF-44E3-9099-C40C66FF867C}">
                    <a14:compatExt spid="_x0000_s40159"/>
                  </a:ext>
                  <a:ext uri="{FF2B5EF4-FFF2-40B4-BE49-F238E27FC236}">
                    <a16:creationId xmlns:a16="http://schemas.microsoft.com/office/drawing/2014/main" id="{00000000-0008-0000-1100-0000DF9C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60" name="Option Button 224" hidden="1">
                <a:extLst>
                  <a:ext uri="{63B3BB69-23CF-44E3-9099-C40C66FF867C}">
                    <a14:compatExt spid="_x0000_s40160"/>
                  </a:ext>
                  <a:ext uri="{FF2B5EF4-FFF2-40B4-BE49-F238E27FC236}">
                    <a16:creationId xmlns:a16="http://schemas.microsoft.com/office/drawing/2014/main" id="{00000000-0008-0000-1100-0000E09C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1" name="Option Button 225" hidden="1">
                <a:extLst>
                  <a:ext uri="{63B3BB69-23CF-44E3-9099-C40C66FF867C}">
                    <a14:compatExt spid="_x0000_s40161"/>
                  </a:ext>
                  <a:ext uri="{FF2B5EF4-FFF2-40B4-BE49-F238E27FC236}">
                    <a16:creationId xmlns:a16="http://schemas.microsoft.com/office/drawing/2014/main" id="{00000000-0008-0000-1100-0000E19C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2" name="Option Button 226" hidden="1">
                <a:extLst>
                  <a:ext uri="{63B3BB69-23CF-44E3-9099-C40C66FF867C}">
                    <a14:compatExt spid="_x0000_s40162"/>
                  </a:ext>
                  <a:ext uri="{FF2B5EF4-FFF2-40B4-BE49-F238E27FC236}">
                    <a16:creationId xmlns:a16="http://schemas.microsoft.com/office/drawing/2014/main" id="{00000000-0008-0000-1100-0000E29C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3" name="Option Button 227" hidden="1">
                <a:extLst>
                  <a:ext uri="{63B3BB69-23CF-44E3-9099-C40C66FF867C}">
                    <a14:compatExt spid="_x0000_s40163"/>
                  </a:ext>
                  <a:ext uri="{FF2B5EF4-FFF2-40B4-BE49-F238E27FC236}">
                    <a16:creationId xmlns:a16="http://schemas.microsoft.com/office/drawing/2014/main" id="{00000000-0008-0000-1100-0000E39C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4" name="Option Button 228" hidden="1">
                <a:extLst>
                  <a:ext uri="{63B3BB69-23CF-44E3-9099-C40C66FF867C}">
                    <a14:compatExt spid="_x0000_s40164"/>
                  </a:ext>
                  <a:ext uri="{FF2B5EF4-FFF2-40B4-BE49-F238E27FC236}">
                    <a16:creationId xmlns:a16="http://schemas.microsoft.com/office/drawing/2014/main" id="{00000000-0008-0000-1100-0000E49C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44</xdr:row>
          <xdr:rowOff>28578</xdr:rowOff>
        </xdr:from>
        <xdr:to>
          <xdr:col>16</xdr:col>
          <xdr:colOff>76181</xdr:colOff>
          <xdr:row>44</xdr:row>
          <xdr:rowOff>204311</xdr:rowOff>
        </xdr:to>
        <xdr:grpSp>
          <xdr:nvGrpSpPr>
            <xdr:cNvPr id="360" name="Gruppieren 359">
              <a:extLst>
                <a:ext uri="{FF2B5EF4-FFF2-40B4-BE49-F238E27FC236}">
                  <a16:creationId xmlns:a16="http://schemas.microsoft.com/office/drawing/2014/main" id="{00000000-0008-0000-1100-000068010000}"/>
                </a:ext>
              </a:extLst>
            </xdr:cNvPr>
            <xdr:cNvGrpSpPr/>
          </xdr:nvGrpSpPr>
          <xdr:grpSpPr>
            <a:xfrm>
              <a:off x="4417682" y="1571815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165" name="Group Box 229" hidden="1">
                <a:extLst>
                  <a:ext uri="{63B3BB69-23CF-44E3-9099-C40C66FF867C}">
                    <a14:compatExt spid="_x0000_s40165"/>
                  </a:ext>
                  <a:ext uri="{FF2B5EF4-FFF2-40B4-BE49-F238E27FC236}">
                    <a16:creationId xmlns:a16="http://schemas.microsoft.com/office/drawing/2014/main" id="{00000000-0008-0000-1100-0000E59C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66" name="Option Button 230" hidden="1">
                <a:extLst>
                  <a:ext uri="{63B3BB69-23CF-44E3-9099-C40C66FF867C}">
                    <a14:compatExt spid="_x0000_s40166"/>
                  </a:ext>
                  <a:ext uri="{FF2B5EF4-FFF2-40B4-BE49-F238E27FC236}">
                    <a16:creationId xmlns:a16="http://schemas.microsoft.com/office/drawing/2014/main" id="{00000000-0008-0000-1100-0000E69C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7" name="Option Button 231" hidden="1">
                <a:extLst>
                  <a:ext uri="{63B3BB69-23CF-44E3-9099-C40C66FF867C}">
                    <a14:compatExt spid="_x0000_s40167"/>
                  </a:ext>
                  <a:ext uri="{FF2B5EF4-FFF2-40B4-BE49-F238E27FC236}">
                    <a16:creationId xmlns:a16="http://schemas.microsoft.com/office/drawing/2014/main" id="{00000000-0008-0000-1100-0000E79C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8" name="Option Button 232" hidden="1">
                <a:extLst>
                  <a:ext uri="{63B3BB69-23CF-44E3-9099-C40C66FF867C}">
                    <a14:compatExt spid="_x0000_s40168"/>
                  </a:ext>
                  <a:ext uri="{FF2B5EF4-FFF2-40B4-BE49-F238E27FC236}">
                    <a16:creationId xmlns:a16="http://schemas.microsoft.com/office/drawing/2014/main" id="{00000000-0008-0000-1100-0000E89C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9" name="Option Button 233" hidden="1">
                <a:extLst>
                  <a:ext uri="{63B3BB69-23CF-44E3-9099-C40C66FF867C}">
                    <a14:compatExt spid="_x0000_s40169"/>
                  </a:ext>
                  <a:ext uri="{FF2B5EF4-FFF2-40B4-BE49-F238E27FC236}">
                    <a16:creationId xmlns:a16="http://schemas.microsoft.com/office/drawing/2014/main" id="{00000000-0008-0000-1100-0000E99C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70" name="Option Button 234" hidden="1">
                <a:extLst>
                  <a:ext uri="{63B3BB69-23CF-44E3-9099-C40C66FF867C}">
                    <a14:compatExt spid="_x0000_s40170"/>
                  </a:ext>
                  <a:ext uri="{FF2B5EF4-FFF2-40B4-BE49-F238E27FC236}">
                    <a16:creationId xmlns:a16="http://schemas.microsoft.com/office/drawing/2014/main" id="{00000000-0008-0000-1100-0000EA9C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45</xdr:row>
          <xdr:rowOff>38103</xdr:rowOff>
        </xdr:from>
        <xdr:to>
          <xdr:col>16</xdr:col>
          <xdr:colOff>76181</xdr:colOff>
          <xdr:row>45</xdr:row>
          <xdr:rowOff>213836</xdr:rowOff>
        </xdr:to>
        <xdr:grpSp>
          <xdr:nvGrpSpPr>
            <xdr:cNvPr id="367" name="Gruppieren 366">
              <a:extLst>
                <a:ext uri="{FF2B5EF4-FFF2-40B4-BE49-F238E27FC236}">
                  <a16:creationId xmlns:a16="http://schemas.microsoft.com/office/drawing/2014/main" id="{00000000-0008-0000-1100-00006F010000}"/>
                </a:ext>
              </a:extLst>
            </xdr:cNvPr>
            <xdr:cNvGrpSpPr/>
          </xdr:nvGrpSpPr>
          <xdr:grpSpPr>
            <a:xfrm>
              <a:off x="4417682" y="16123923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171" name="Group Box 235" hidden="1">
                <a:extLst>
                  <a:ext uri="{63B3BB69-23CF-44E3-9099-C40C66FF867C}">
                    <a14:compatExt spid="_x0000_s40171"/>
                  </a:ext>
                  <a:ext uri="{FF2B5EF4-FFF2-40B4-BE49-F238E27FC236}">
                    <a16:creationId xmlns:a16="http://schemas.microsoft.com/office/drawing/2014/main" id="{00000000-0008-0000-1100-0000EB9C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72" name="Option Button 236" hidden="1">
                <a:extLst>
                  <a:ext uri="{63B3BB69-23CF-44E3-9099-C40C66FF867C}">
                    <a14:compatExt spid="_x0000_s40172"/>
                  </a:ext>
                  <a:ext uri="{FF2B5EF4-FFF2-40B4-BE49-F238E27FC236}">
                    <a16:creationId xmlns:a16="http://schemas.microsoft.com/office/drawing/2014/main" id="{00000000-0008-0000-1100-0000EC9C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73" name="Option Button 237" hidden="1">
                <a:extLst>
                  <a:ext uri="{63B3BB69-23CF-44E3-9099-C40C66FF867C}">
                    <a14:compatExt spid="_x0000_s40173"/>
                  </a:ext>
                  <a:ext uri="{FF2B5EF4-FFF2-40B4-BE49-F238E27FC236}">
                    <a16:creationId xmlns:a16="http://schemas.microsoft.com/office/drawing/2014/main" id="{00000000-0008-0000-1100-0000ED9C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74" name="Option Button 238" hidden="1">
                <a:extLst>
                  <a:ext uri="{63B3BB69-23CF-44E3-9099-C40C66FF867C}">
                    <a14:compatExt spid="_x0000_s40174"/>
                  </a:ext>
                  <a:ext uri="{FF2B5EF4-FFF2-40B4-BE49-F238E27FC236}">
                    <a16:creationId xmlns:a16="http://schemas.microsoft.com/office/drawing/2014/main" id="{00000000-0008-0000-1100-0000EE9C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75" name="Option Button 239" hidden="1">
                <a:extLst>
                  <a:ext uri="{63B3BB69-23CF-44E3-9099-C40C66FF867C}">
                    <a14:compatExt spid="_x0000_s40175"/>
                  </a:ext>
                  <a:ext uri="{FF2B5EF4-FFF2-40B4-BE49-F238E27FC236}">
                    <a16:creationId xmlns:a16="http://schemas.microsoft.com/office/drawing/2014/main" id="{00000000-0008-0000-1100-0000EF9C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76" name="Option Button 240" hidden="1">
                <a:extLst>
                  <a:ext uri="{63B3BB69-23CF-44E3-9099-C40C66FF867C}">
                    <a14:compatExt spid="_x0000_s40176"/>
                  </a:ext>
                  <a:ext uri="{FF2B5EF4-FFF2-40B4-BE49-F238E27FC236}">
                    <a16:creationId xmlns:a16="http://schemas.microsoft.com/office/drawing/2014/main" id="{00000000-0008-0000-1100-0000F09C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39</xdr:row>
      <xdr:rowOff>66674</xdr:rowOff>
    </xdr:from>
    <xdr:to>
      <xdr:col>21</xdr:col>
      <xdr:colOff>133349</xdr:colOff>
      <xdr:row>44</xdr:row>
      <xdr:rowOff>219074</xdr:rowOff>
    </xdr:to>
    <xdr:graphicFrame macro="">
      <xdr:nvGraphicFramePr>
        <xdr:cNvPr id="374" name="Diagramm 373">
          <a:extLst>
            <a:ext uri="{FF2B5EF4-FFF2-40B4-BE49-F238E27FC236}">
              <a16:creationId xmlns:a16="http://schemas.microsoft.com/office/drawing/2014/main" id="{00000000-0008-0000-1100-000076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48</xdr:row>
          <xdr:rowOff>9591</xdr:rowOff>
        </xdr:from>
        <xdr:to>
          <xdr:col>16</xdr:col>
          <xdr:colOff>76191</xdr:colOff>
          <xdr:row>48</xdr:row>
          <xdr:rowOff>203596</xdr:rowOff>
        </xdr:to>
        <xdr:grpSp>
          <xdr:nvGrpSpPr>
            <xdr:cNvPr id="375" name="Gruppieren 374">
              <a:extLst>
                <a:ext uri="{FF2B5EF4-FFF2-40B4-BE49-F238E27FC236}">
                  <a16:creationId xmlns:a16="http://schemas.microsoft.com/office/drawing/2014/main" id="{00000000-0008-0000-1100-000077010000}"/>
                </a:ext>
              </a:extLst>
            </xdr:cNvPr>
            <xdr:cNvGrpSpPr/>
          </xdr:nvGrpSpPr>
          <xdr:grpSpPr>
            <a:xfrm>
              <a:off x="4417688" y="1708601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177" name="Group Box 241" hidden="1">
                <a:extLst>
                  <a:ext uri="{63B3BB69-23CF-44E3-9099-C40C66FF867C}">
                    <a14:compatExt spid="_x0000_s40177"/>
                  </a:ext>
                  <a:ext uri="{FF2B5EF4-FFF2-40B4-BE49-F238E27FC236}">
                    <a16:creationId xmlns:a16="http://schemas.microsoft.com/office/drawing/2014/main" id="{00000000-0008-0000-1100-0000F1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78" name="Option Button 242" hidden="1">
                <a:extLst>
                  <a:ext uri="{63B3BB69-23CF-44E3-9099-C40C66FF867C}">
                    <a14:compatExt spid="_x0000_s40178"/>
                  </a:ext>
                  <a:ext uri="{FF2B5EF4-FFF2-40B4-BE49-F238E27FC236}">
                    <a16:creationId xmlns:a16="http://schemas.microsoft.com/office/drawing/2014/main" id="{00000000-0008-0000-1100-0000F2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79" name="Option Button 243" hidden="1">
                <a:extLst>
                  <a:ext uri="{63B3BB69-23CF-44E3-9099-C40C66FF867C}">
                    <a14:compatExt spid="_x0000_s40179"/>
                  </a:ext>
                  <a:ext uri="{FF2B5EF4-FFF2-40B4-BE49-F238E27FC236}">
                    <a16:creationId xmlns:a16="http://schemas.microsoft.com/office/drawing/2014/main" id="{00000000-0008-0000-1100-0000F3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0" name="Option Button 244" hidden="1">
                <a:extLst>
                  <a:ext uri="{63B3BB69-23CF-44E3-9099-C40C66FF867C}">
                    <a14:compatExt spid="_x0000_s40180"/>
                  </a:ext>
                  <a:ext uri="{FF2B5EF4-FFF2-40B4-BE49-F238E27FC236}">
                    <a16:creationId xmlns:a16="http://schemas.microsoft.com/office/drawing/2014/main" id="{00000000-0008-0000-1100-0000F4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1" name="Option Button 245" hidden="1">
                <a:extLst>
                  <a:ext uri="{63B3BB69-23CF-44E3-9099-C40C66FF867C}">
                    <a14:compatExt spid="_x0000_s40181"/>
                  </a:ext>
                  <a:ext uri="{FF2B5EF4-FFF2-40B4-BE49-F238E27FC236}">
                    <a16:creationId xmlns:a16="http://schemas.microsoft.com/office/drawing/2014/main" id="{00000000-0008-0000-1100-0000F5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2" name="Option Button 246" hidden="1">
                <a:extLst>
                  <a:ext uri="{63B3BB69-23CF-44E3-9099-C40C66FF867C}">
                    <a14:compatExt spid="_x0000_s40182"/>
                  </a:ext>
                  <a:ext uri="{FF2B5EF4-FFF2-40B4-BE49-F238E27FC236}">
                    <a16:creationId xmlns:a16="http://schemas.microsoft.com/office/drawing/2014/main" id="{00000000-0008-0000-1100-0000F6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51</xdr:row>
          <xdr:rowOff>66</xdr:rowOff>
        </xdr:from>
        <xdr:to>
          <xdr:col>16</xdr:col>
          <xdr:colOff>76191</xdr:colOff>
          <xdr:row>51</xdr:row>
          <xdr:rowOff>194071</xdr:rowOff>
        </xdr:to>
        <xdr:grpSp>
          <xdr:nvGrpSpPr>
            <xdr:cNvPr id="382" name="Gruppieren 381">
              <a:extLst>
                <a:ext uri="{FF2B5EF4-FFF2-40B4-BE49-F238E27FC236}">
                  <a16:creationId xmlns:a16="http://schemas.microsoft.com/office/drawing/2014/main" id="{00000000-0008-0000-1100-00007E010000}"/>
                </a:ext>
              </a:extLst>
            </xdr:cNvPr>
            <xdr:cNvGrpSpPr/>
          </xdr:nvGrpSpPr>
          <xdr:grpSpPr>
            <a:xfrm>
              <a:off x="4417688" y="18265206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183" name="Group Box 247" hidden="1">
                <a:extLst>
                  <a:ext uri="{63B3BB69-23CF-44E3-9099-C40C66FF867C}">
                    <a14:compatExt spid="_x0000_s40183"/>
                  </a:ext>
                  <a:ext uri="{FF2B5EF4-FFF2-40B4-BE49-F238E27FC236}">
                    <a16:creationId xmlns:a16="http://schemas.microsoft.com/office/drawing/2014/main" id="{00000000-0008-0000-1100-0000F7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84" name="Option Button 248" hidden="1">
                <a:extLst>
                  <a:ext uri="{63B3BB69-23CF-44E3-9099-C40C66FF867C}">
                    <a14:compatExt spid="_x0000_s40184"/>
                  </a:ext>
                  <a:ext uri="{FF2B5EF4-FFF2-40B4-BE49-F238E27FC236}">
                    <a16:creationId xmlns:a16="http://schemas.microsoft.com/office/drawing/2014/main" id="{00000000-0008-0000-1100-0000F8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5" name="Option Button 249" hidden="1">
                <a:extLst>
                  <a:ext uri="{63B3BB69-23CF-44E3-9099-C40C66FF867C}">
                    <a14:compatExt spid="_x0000_s40185"/>
                  </a:ext>
                  <a:ext uri="{FF2B5EF4-FFF2-40B4-BE49-F238E27FC236}">
                    <a16:creationId xmlns:a16="http://schemas.microsoft.com/office/drawing/2014/main" id="{00000000-0008-0000-1100-0000F9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6" name="Option Button 250" hidden="1">
                <a:extLst>
                  <a:ext uri="{63B3BB69-23CF-44E3-9099-C40C66FF867C}">
                    <a14:compatExt spid="_x0000_s40186"/>
                  </a:ext>
                  <a:ext uri="{FF2B5EF4-FFF2-40B4-BE49-F238E27FC236}">
                    <a16:creationId xmlns:a16="http://schemas.microsoft.com/office/drawing/2014/main" id="{00000000-0008-0000-1100-0000FA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7" name="Option Button 251" hidden="1">
                <a:extLst>
                  <a:ext uri="{63B3BB69-23CF-44E3-9099-C40C66FF867C}">
                    <a14:compatExt spid="_x0000_s40187"/>
                  </a:ext>
                  <a:ext uri="{FF2B5EF4-FFF2-40B4-BE49-F238E27FC236}">
                    <a16:creationId xmlns:a16="http://schemas.microsoft.com/office/drawing/2014/main" id="{00000000-0008-0000-1100-0000FB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8" name="Option Button 252" hidden="1">
                <a:extLst>
                  <a:ext uri="{63B3BB69-23CF-44E3-9099-C40C66FF867C}">
                    <a14:compatExt spid="_x0000_s40188"/>
                  </a:ext>
                  <a:ext uri="{FF2B5EF4-FFF2-40B4-BE49-F238E27FC236}">
                    <a16:creationId xmlns:a16="http://schemas.microsoft.com/office/drawing/2014/main" id="{00000000-0008-0000-1100-0000FC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52</xdr:row>
          <xdr:rowOff>9591</xdr:rowOff>
        </xdr:from>
        <xdr:to>
          <xdr:col>16</xdr:col>
          <xdr:colOff>76191</xdr:colOff>
          <xdr:row>52</xdr:row>
          <xdr:rowOff>203596</xdr:rowOff>
        </xdr:to>
        <xdr:grpSp>
          <xdr:nvGrpSpPr>
            <xdr:cNvPr id="389" name="Gruppieren 388">
              <a:extLst>
                <a:ext uri="{FF2B5EF4-FFF2-40B4-BE49-F238E27FC236}">
                  <a16:creationId xmlns:a16="http://schemas.microsoft.com/office/drawing/2014/main" id="{00000000-0008-0000-1100-000085010000}"/>
                </a:ext>
              </a:extLst>
            </xdr:cNvPr>
            <xdr:cNvGrpSpPr/>
          </xdr:nvGrpSpPr>
          <xdr:grpSpPr>
            <a:xfrm>
              <a:off x="4417688" y="1867097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189" name="Group Box 253" hidden="1">
                <a:extLst>
                  <a:ext uri="{63B3BB69-23CF-44E3-9099-C40C66FF867C}">
                    <a14:compatExt spid="_x0000_s40189"/>
                  </a:ext>
                  <a:ext uri="{FF2B5EF4-FFF2-40B4-BE49-F238E27FC236}">
                    <a16:creationId xmlns:a16="http://schemas.microsoft.com/office/drawing/2014/main" id="{00000000-0008-0000-1100-0000FD9C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90" name="Option Button 254" hidden="1">
                <a:extLst>
                  <a:ext uri="{63B3BB69-23CF-44E3-9099-C40C66FF867C}">
                    <a14:compatExt spid="_x0000_s40190"/>
                  </a:ext>
                  <a:ext uri="{FF2B5EF4-FFF2-40B4-BE49-F238E27FC236}">
                    <a16:creationId xmlns:a16="http://schemas.microsoft.com/office/drawing/2014/main" id="{00000000-0008-0000-1100-0000FE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1" name="Option Button 255" hidden="1">
                <a:extLst>
                  <a:ext uri="{63B3BB69-23CF-44E3-9099-C40C66FF867C}">
                    <a14:compatExt spid="_x0000_s40191"/>
                  </a:ext>
                  <a:ext uri="{FF2B5EF4-FFF2-40B4-BE49-F238E27FC236}">
                    <a16:creationId xmlns:a16="http://schemas.microsoft.com/office/drawing/2014/main" id="{00000000-0008-0000-1100-0000FF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2" name="Option Button 256" hidden="1">
                <a:extLst>
                  <a:ext uri="{63B3BB69-23CF-44E3-9099-C40C66FF867C}">
                    <a14:compatExt spid="_x0000_s40192"/>
                  </a:ext>
                  <a:ext uri="{FF2B5EF4-FFF2-40B4-BE49-F238E27FC236}">
                    <a16:creationId xmlns:a16="http://schemas.microsoft.com/office/drawing/2014/main" id="{00000000-0008-0000-1100-000000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3" name="Option Button 257" hidden="1">
                <a:extLst>
                  <a:ext uri="{63B3BB69-23CF-44E3-9099-C40C66FF867C}">
                    <a14:compatExt spid="_x0000_s40193"/>
                  </a:ext>
                  <a:ext uri="{FF2B5EF4-FFF2-40B4-BE49-F238E27FC236}">
                    <a16:creationId xmlns:a16="http://schemas.microsoft.com/office/drawing/2014/main" id="{00000000-0008-0000-1100-000001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4" name="Option Button 258" hidden="1">
                <a:extLst>
                  <a:ext uri="{63B3BB69-23CF-44E3-9099-C40C66FF867C}">
                    <a14:compatExt spid="_x0000_s40194"/>
                  </a:ext>
                  <a:ext uri="{FF2B5EF4-FFF2-40B4-BE49-F238E27FC236}">
                    <a16:creationId xmlns:a16="http://schemas.microsoft.com/office/drawing/2014/main" id="{00000000-0008-0000-1100-000002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53</xdr:row>
          <xdr:rowOff>66</xdr:rowOff>
        </xdr:from>
        <xdr:to>
          <xdr:col>16</xdr:col>
          <xdr:colOff>76191</xdr:colOff>
          <xdr:row>53</xdr:row>
          <xdr:rowOff>194071</xdr:rowOff>
        </xdr:to>
        <xdr:grpSp>
          <xdr:nvGrpSpPr>
            <xdr:cNvPr id="396" name="Gruppieren 395">
              <a:extLst>
                <a:ext uri="{FF2B5EF4-FFF2-40B4-BE49-F238E27FC236}">
                  <a16:creationId xmlns:a16="http://schemas.microsoft.com/office/drawing/2014/main" id="{00000000-0008-0000-1100-00008C010000}"/>
                </a:ext>
              </a:extLst>
            </xdr:cNvPr>
            <xdr:cNvGrpSpPr/>
          </xdr:nvGrpSpPr>
          <xdr:grpSpPr>
            <a:xfrm>
              <a:off x="4417688" y="19057686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195" name="Group Box 259" hidden="1">
                <a:extLst>
                  <a:ext uri="{63B3BB69-23CF-44E3-9099-C40C66FF867C}">
                    <a14:compatExt spid="_x0000_s40195"/>
                  </a:ext>
                  <a:ext uri="{FF2B5EF4-FFF2-40B4-BE49-F238E27FC236}">
                    <a16:creationId xmlns:a16="http://schemas.microsoft.com/office/drawing/2014/main" id="{00000000-0008-0000-1100-0000039D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96" name="Option Button 260" hidden="1">
                <a:extLst>
                  <a:ext uri="{63B3BB69-23CF-44E3-9099-C40C66FF867C}">
                    <a14:compatExt spid="_x0000_s40196"/>
                  </a:ext>
                  <a:ext uri="{FF2B5EF4-FFF2-40B4-BE49-F238E27FC236}">
                    <a16:creationId xmlns:a16="http://schemas.microsoft.com/office/drawing/2014/main" id="{00000000-0008-0000-1100-0000049D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7" name="Option Button 261" hidden="1">
                <a:extLst>
                  <a:ext uri="{63B3BB69-23CF-44E3-9099-C40C66FF867C}">
                    <a14:compatExt spid="_x0000_s40197"/>
                  </a:ext>
                  <a:ext uri="{FF2B5EF4-FFF2-40B4-BE49-F238E27FC236}">
                    <a16:creationId xmlns:a16="http://schemas.microsoft.com/office/drawing/2014/main" id="{00000000-0008-0000-1100-0000059D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8" name="Option Button 262" hidden="1">
                <a:extLst>
                  <a:ext uri="{63B3BB69-23CF-44E3-9099-C40C66FF867C}">
                    <a14:compatExt spid="_x0000_s40198"/>
                  </a:ext>
                  <a:ext uri="{FF2B5EF4-FFF2-40B4-BE49-F238E27FC236}">
                    <a16:creationId xmlns:a16="http://schemas.microsoft.com/office/drawing/2014/main" id="{00000000-0008-0000-1100-000006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9" name="Option Button 263" hidden="1">
                <a:extLst>
                  <a:ext uri="{63B3BB69-23CF-44E3-9099-C40C66FF867C}">
                    <a14:compatExt spid="_x0000_s40199"/>
                  </a:ext>
                  <a:ext uri="{FF2B5EF4-FFF2-40B4-BE49-F238E27FC236}">
                    <a16:creationId xmlns:a16="http://schemas.microsoft.com/office/drawing/2014/main" id="{00000000-0008-0000-1100-000007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00" name="Option Button 264" hidden="1">
                <a:extLst>
                  <a:ext uri="{63B3BB69-23CF-44E3-9099-C40C66FF867C}">
                    <a14:compatExt spid="_x0000_s40200"/>
                  </a:ext>
                  <a:ext uri="{FF2B5EF4-FFF2-40B4-BE49-F238E27FC236}">
                    <a16:creationId xmlns:a16="http://schemas.microsoft.com/office/drawing/2014/main" id="{00000000-0008-0000-1100-000008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47</xdr:row>
      <xdr:rowOff>66674</xdr:rowOff>
    </xdr:from>
    <xdr:to>
      <xdr:col>21</xdr:col>
      <xdr:colOff>133349</xdr:colOff>
      <xdr:row>52</xdr:row>
      <xdr:rowOff>219074</xdr:rowOff>
    </xdr:to>
    <xdr:graphicFrame macro="">
      <xdr:nvGraphicFramePr>
        <xdr:cNvPr id="403" name="Diagramm 402">
          <a:extLst>
            <a:ext uri="{FF2B5EF4-FFF2-40B4-BE49-F238E27FC236}">
              <a16:creationId xmlns:a16="http://schemas.microsoft.com/office/drawing/2014/main" id="{00000000-0008-0000-1100-000093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57</xdr:row>
          <xdr:rowOff>28578</xdr:rowOff>
        </xdr:from>
        <xdr:to>
          <xdr:col>16</xdr:col>
          <xdr:colOff>76181</xdr:colOff>
          <xdr:row>57</xdr:row>
          <xdr:rowOff>204311</xdr:rowOff>
        </xdr:to>
        <xdr:grpSp>
          <xdr:nvGrpSpPr>
            <xdr:cNvPr id="404" name="Gruppieren 403">
              <a:extLst>
                <a:ext uri="{FF2B5EF4-FFF2-40B4-BE49-F238E27FC236}">
                  <a16:creationId xmlns:a16="http://schemas.microsoft.com/office/drawing/2014/main" id="{00000000-0008-0000-1100-000094010000}"/>
                </a:ext>
              </a:extLst>
            </xdr:cNvPr>
            <xdr:cNvGrpSpPr/>
          </xdr:nvGrpSpPr>
          <xdr:grpSpPr>
            <a:xfrm>
              <a:off x="4417682" y="2047303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201" name="Group Box 265" hidden="1">
                <a:extLst>
                  <a:ext uri="{63B3BB69-23CF-44E3-9099-C40C66FF867C}">
                    <a14:compatExt spid="_x0000_s40201"/>
                  </a:ext>
                  <a:ext uri="{FF2B5EF4-FFF2-40B4-BE49-F238E27FC236}">
                    <a16:creationId xmlns:a16="http://schemas.microsoft.com/office/drawing/2014/main" id="{00000000-0008-0000-1100-0000099D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02" name="Option Button 266" hidden="1">
                <a:extLst>
                  <a:ext uri="{63B3BB69-23CF-44E3-9099-C40C66FF867C}">
                    <a14:compatExt spid="_x0000_s40202"/>
                  </a:ext>
                  <a:ext uri="{FF2B5EF4-FFF2-40B4-BE49-F238E27FC236}">
                    <a16:creationId xmlns:a16="http://schemas.microsoft.com/office/drawing/2014/main" id="{00000000-0008-0000-1100-00000A9D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03" name="Option Button 267" hidden="1">
                <a:extLst>
                  <a:ext uri="{63B3BB69-23CF-44E3-9099-C40C66FF867C}">
                    <a14:compatExt spid="_x0000_s40203"/>
                  </a:ext>
                  <a:ext uri="{FF2B5EF4-FFF2-40B4-BE49-F238E27FC236}">
                    <a16:creationId xmlns:a16="http://schemas.microsoft.com/office/drawing/2014/main" id="{00000000-0008-0000-1100-00000B9D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04" name="Option Button 268" hidden="1">
                <a:extLst>
                  <a:ext uri="{63B3BB69-23CF-44E3-9099-C40C66FF867C}">
                    <a14:compatExt spid="_x0000_s40204"/>
                  </a:ext>
                  <a:ext uri="{FF2B5EF4-FFF2-40B4-BE49-F238E27FC236}">
                    <a16:creationId xmlns:a16="http://schemas.microsoft.com/office/drawing/2014/main" id="{00000000-0008-0000-1100-00000C9D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05" name="Option Button 269" hidden="1">
                <a:extLst>
                  <a:ext uri="{63B3BB69-23CF-44E3-9099-C40C66FF867C}">
                    <a14:compatExt spid="_x0000_s40205"/>
                  </a:ext>
                  <a:ext uri="{FF2B5EF4-FFF2-40B4-BE49-F238E27FC236}">
                    <a16:creationId xmlns:a16="http://schemas.microsoft.com/office/drawing/2014/main" id="{00000000-0008-0000-1100-00000D9D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06" name="Option Button 270" hidden="1">
                <a:extLst>
                  <a:ext uri="{63B3BB69-23CF-44E3-9099-C40C66FF867C}">
                    <a14:compatExt spid="_x0000_s40206"/>
                  </a:ext>
                  <a:ext uri="{FF2B5EF4-FFF2-40B4-BE49-F238E27FC236}">
                    <a16:creationId xmlns:a16="http://schemas.microsoft.com/office/drawing/2014/main" id="{00000000-0008-0000-1100-00000E9D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58</xdr:row>
          <xdr:rowOff>9528</xdr:rowOff>
        </xdr:from>
        <xdr:to>
          <xdr:col>16</xdr:col>
          <xdr:colOff>76181</xdr:colOff>
          <xdr:row>58</xdr:row>
          <xdr:rowOff>185261</xdr:rowOff>
        </xdr:to>
        <xdr:grpSp>
          <xdr:nvGrpSpPr>
            <xdr:cNvPr id="411" name="Gruppieren 410">
              <a:extLst>
                <a:ext uri="{FF2B5EF4-FFF2-40B4-BE49-F238E27FC236}">
                  <a16:creationId xmlns:a16="http://schemas.microsoft.com/office/drawing/2014/main" id="{00000000-0008-0000-1100-00009B010000}"/>
                </a:ext>
              </a:extLst>
            </xdr:cNvPr>
            <xdr:cNvGrpSpPr/>
          </xdr:nvGrpSpPr>
          <xdr:grpSpPr>
            <a:xfrm>
              <a:off x="4417682" y="2085022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207" name="Group Box 271" hidden="1">
                <a:extLst>
                  <a:ext uri="{63B3BB69-23CF-44E3-9099-C40C66FF867C}">
                    <a14:compatExt spid="_x0000_s40207"/>
                  </a:ext>
                  <a:ext uri="{FF2B5EF4-FFF2-40B4-BE49-F238E27FC236}">
                    <a16:creationId xmlns:a16="http://schemas.microsoft.com/office/drawing/2014/main" id="{00000000-0008-0000-1100-00000F9D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08" name="Option Button 272" hidden="1">
                <a:extLst>
                  <a:ext uri="{63B3BB69-23CF-44E3-9099-C40C66FF867C}">
                    <a14:compatExt spid="_x0000_s40208"/>
                  </a:ext>
                  <a:ext uri="{FF2B5EF4-FFF2-40B4-BE49-F238E27FC236}">
                    <a16:creationId xmlns:a16="http://schemas.microsoft.com/office/drawing/2014/main" id="{00000000-0008-0000-1100-0000109D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09" name="Option Button 273" hidden="1">
                <a:extLst>
                  <a:ext uri="{63B3BB69-23CF-44E3-9099-C40C66FF867C}">
                    <a14:compatExt spid="_x0000_s40209"/>
                  </a:ext>
                  <a:ext uri="{FF2B5EF4-FFF2-40B4-BE49-F238E27FC236}">
                    <a16:creationId xmlns:a16="http://schemas.microsoft.com/office/drawing/2014/main" id="{00000000-0008-0000-1100-0000119D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0" name="Option Button 274" hidden="1">
                <a:extLst>
                  <a:ext uri="{63B3BB69-23CF-44E3-9099-C40C66FF867C}">
                    <a14:compatExt spid="_x0000_s40210"/>
                  </a:ext>
                  <a:ext uri="{FF2B5EF4-FFF2-40B4-BE49-F238E27FC236}">
                    <a16:creationId xmlns:a16="http://schemas.microsoft.com/office/drawing/2014/main" id="{00000000-0008-0000-1100-0000129D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1" name="Option Button 275" hidden="1">
                <a:extLst>
                  <a:ext uri="{63B3BB69-23CF-44E3-9099-C40C66FF867C}">
                    <a14:compatExt spid="_x0000_s40211"/>
                  </a:ext>
                  <a:ext uri="{FF2B5EF4-FFF2-40B4-BE49-F238E27FC236}">
                    <a16:creationId xmlns:a16="http://schemas.microsoft.com/office/drawing/2014/main" id="{00000000-0008-0000-1100-0000139D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2" name="Option Button 276" hidden="1">
                <a:extLst>
                  <a:ext uri="{63B3BB69-23CF-44E3-9099-C40C66FF867C}">
                    <a14:compatExt spid="_x0000_s40212"/>
                  </a:ext>
                  <a:ext uri="{FF2B5EF4-FFF2-40B4-BE49-F238E27FC236}">
                    <a16:creationId xmlns:a16="http://schemas.microsoft.com/office/drawing/2014/main" id="{00000000-0008-0000-1100-0000149D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59</xdr:row>
          <xdr:rowOff>28578</xdr:rowOff>
        </xdr:from>
        <xdr:to>
          <xdr:col>16</xdr:col>
          <xdr:colOff>76181</xdr:colOff>
          <xdr:row>59</xdr:row>
          <xdr:rowOff>204311</xdr:rowOff>
        </xdr:to>
        <xdr:grpSp>
          <xdr:nvGrpSpPr>
            <xdr:cNvPr id="418" name="Gruppieren 417">
              <a:extLst>
                <a:ext uri="{FF2B5EF4-FFF2-40B4-BE49-F238E27FC236}">
                  <a16:creationId xmlns:a16="http://schemas.microsoft.com/office/drawing/2014/main" id="{00000000-0008-0000-1100-0000A2010000}"/>
                </a:ext>
              </a:extLst>
            </xdr:cNvPr>
            <xdr:cNvGrpSpPr/>
          </xdr:nvGrpSpPr>
          <xdr:grpSpPr>
            <a:xfrm>
              <a:off x="4417682" y="2126551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213" name="Group Box 277" hidden="1">
                <a:extLst>
                  <a:ext uri="{63B3BB69-23CF-44E3-9099-C40C66FF867C}">
                    <a14:compatExt spid="_x0000_s40213"/>
                  </a:ext>
                  <a:ext uri="{FF2B5EF4-FFF2-40B4-BE49-F238E27FC236}">
                    <a16:creationId xmlns:a16="http://schemas.microsoft.com/office/drawing/2014/main" id="{00000000-0008-0000-1100-0000159D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14" name="Option Button 278" hidden="1">
                <a:extLst>
                  <a:ext uri="{63B3BB69-23CF-44E3-9099-C40C66FF867C}">
                    <a14:compatExt spid="_x0000_s40214"/>
                  </a:ext>
                  <a:ext uri="{FF2B5EF4-FFF2-40B4-BE49-F238E27FC236}">
                    <a16:creationId xmlns:a16="http://schemas.microsoft.com/office/drawing/2014/main" id="{00000000-0008-0000-1100-0000169D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5" name="Option Button 279" hidden="1">
                <a:extLst>
                  <a:ext uri="{63B3BB69-23CF-44E3-9099-C40C66FF867C}">
                    <a14:compatExt spid="_x0000_s40215"/>
                  </a:ext>
                  <a:ext uri="{FF2B5EF4-FFF2-40B4-BE49-F238E27FC236}">
                    <a16:creationId xmlns:a16="http://schemas.microsoft.com/office/drawing/2014/main" id="{00000000-0008-0000-1100-0000179D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6" name="Option Button 280" hidden="1">
                <a:extLst>
                  <a:ext uri="{63B3BB69-23CF-44E3-9099-C40C66FF867C}">
                    <a14:compatExt spid="_x0000_s40216"/>
                  </a:ext>
                  <a:ext uri="{FF2B5EF4-FFF2-40B4-BE49-F238E27FC236}">
                    <a16:creationId xmlns:a16="http://schemas.microsoft.com/office/drawing/2014/main" id="{00000000-0008-0000-1100-0000189D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7" name="Option Button 281" hidden="1">
                <a:extLst>
                  <a:ext uri="{63B3BB69-23CF-44E3-9099-C40C66FF867C}">
                    <a14:compatExt spid="_x0000_s40217"/>
                  </a:ext>
                  <a:ext uri="{FF2B5EF4-FFF2-40B4-BE49-F238E27FC236}">
                    <a16:creationId xmlns:a16="http://schemas.microsoft.com/office/drawing/2014/main" id="{00000000-0008-0000-1100-0000199D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8" name="Option Button 282" hidden="1">
                <a:extLst>
                  <a:ext uri="{63B3BB69-23CF-44E3-9099-C40C66FF867C}">
                    <a14:compatExt spid="_x0000_s40218"/>
                  </a:ext>
                  <a:ext uri="{FF2B5EF4-FFF2-40B4-BE49-F238E27FC236}">
                    <a16:creationId xmlns:a16="http://schemas.microsoft.com/office/drawing/2014/main" id="{00000000-0008-0000-1100-00001A9D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60</xdr:row>
          <xdr:rowOff>28578</xdr:rowOff>
        </xdr:from>
        <xdr:to>
          <xdr:col>16</xdr:col>
          <xdr:colOff>76181</xdr:colOff>
          <xdr:row>60</xdr:row>
          <xdr:rowOff>204311</xdr:rowOff>
        </xdr:to>
        <xdr:grpSp>
          <xdr:nvGrpSpPr>
            <xdr:cNvPr id="425" name="Gruppieren 424">
              <a:extLst>
                <a:ext uri="{FF2B5EF4-FFF2-40B4-BE49-F238E27FC236}">
                  <a16:creationId xmlns:a16="http://schemas.microsoft.com/office/drawing/2014/main" id="{00000000-0008-0000-1100-0000A9010000}"/>
                </a:ext>
              </a:extLst>
            </xdr:cNvPr>
            <xdr:cNvGrpSpPr/>
          </xdr:nvGrpSpPr>
          <xdr:grpSpPr>
            <a:xfrm>
              <a:off x="4417682" y="2166175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219" name="Group Box 283" hidden="1">
                <a:extLst>
                  <a:ext uri="{63B3BB69-23CF-44E3-9099-C40C66FF867C}">
                    <a14:compatExt spid="_x0000_s40219"/>
                  </a:ext>
                  <a:ext uri="{FF2B5EF4-FFF2-40B4-BE49-F238E27FC236}">
                    <a16:creationId xmlns:a16="http://schemas.microsoft.com/office/drawing/2014/main" id="{00000000-0008-0000-1100-00001B9D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20" name="Option Button 284" hidden="1">
                <a:extLst>
                  <a:ext uri="{63B3BB69-23CF-44E3-9099-C40C66FF867C}">
                    <a14:compatExt spid="_x0000_s40220"/>
                  </a:ext>
                  <a:ext uri="{FF2B5EF4-FFF2-40B4-BE49-F238E27FC236}">
                    <a16:creationId xmlns:a16="http://schemas.microsoft.com/office/drawing/2014/main" id="{00000000-0008-0000-1100-00001C9D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1" name="Option Button 285" hidden="1">
                <a:extLst>
                  <a:ext uri="{63B3BB69-23CF-44E3-9099-C40C66FF867C}">
                    <a14:compatExt spid="_x0000_s40221"/>
                  </a:ext>
                  <a:ext uri="{FF2B5EF4-FFF2-40B4-BE49-F238E27FC236}">
                    <a16:creationId xmlns:a16="http://schemas.microsoft.com/office/drawing/2014/main" id="{00000000-0008-0000-1100-00001D9D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2" name="Option Button 286" hidden="1">
                <a:extLst>
                  <a:ext uri="{63B3BB69-23CF-44E3-9099-C40C66FF867C}">
                    <a14:compatExt spid="_x0000_s40222"/>
                  </a:ext>
                  <a:ext uri="{FF2B5EF4-FFF2-40B4-BE49-F238E27FC236}">
                    <a16:creationId xmlns:a16="http://schemas.microsoft.com/office/drawing/2014/main" id="{00000000-0008-0000-1100-00001E9D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3" name="Option Button 287" hidden="1">
                <a:extLst>
                  <a:ext uri="{63B3BB69-23CF-44E3-9099-C40C66FF867C}">
                    <a14:compatExt spid="_x0000_s40223"/>
                  </a:ext>
                  <a:ext uri="{FF2B5EF4-FFF2-40B4-BE49-F238E27FC236}">
                    <a16:creationId xmlns:a16="http://schemas.microsoft.com/office/drawing/2014/main" id="{00000000-0008-0000-1100-00001F9D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4" name="Option Button 288" hidden="1">
                <a:extLst>
                  <a:ext uri="{63B3BB69-23CF-44E3-9099-C40C66FF867C}">
                    <a14:compatExt spid="_x0000_s40224"/>
                  </a:ext>
                  <a:ext uri="{FF2B5EF4-FFF2-40B4-BE49-F238E27FC236}">
                    <a16:creationId xmlns:a16="http://schemas.microsoft.com/office/drawing/2014/main" id="{00000000-0008-0000-1100-0000209D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55</xdr:row>
      <xdr:rowOff>76199</xdr:rowOff>
    </xdr:from>
    <xdr:to>
      <xdr:col>21</xdr:col>
      <xdr:colOff>133349</xdr:colOff>
      <xdr:row>60</xdr:row>
      <xdr:rowOff>228599</xdr:rowOff>
    </xdr:to>
    <xdr:graphicFrame macro="">
      <xdr:nvGraphicFramePr>
        <xdr:cNvPr id="432" name="Diagramm 431">
          <a:extLst>
            <a:ext uri="{FF2B5EF4-FFF2-40B4-BE49-F238E27FC236}">
              <a16:creationId xmlns:a16="http://schemas.microsoft.com/office/drawing/2014/main" id="{00000000-0008-0000-1100-0000B0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63</xdr:row>
          <xdr:rowOff>9591</xdr:rowOff>
        </xdr:from>
        <xdr:to>
          <xdr:col>16</xdr:col>
          <xdr:colOff>76187</xdr:colOff>
          <xdr:row>63</xdr:row>
          <xdr:rowOff>203596</xdr:rowOff>
        </xdr:to>
        <xdr:grpSp>
          <xdr:nvGrpSpPr>
            <xdr:cNvPr id="433" name="Gruppieren 432">
              <a:extLst>
                <a:ext uri="{FF2B5EF4-FFF2-40B4-BE49-F238E27FC236}">
                  <a16:creationId xmlns:a16="http://schemas.microsoft.com/office/drawing/2014/main" id="{00000000-0008-0000-1100-0000B1010000}"/>
                </a:ext>
              </a:extLst>
            </xdr:cNvPr>
            <xdr:cNvGrpSpPr/>
          </xdr:nvGrpSpPr>
          <xdr:grpSpPr>
            <a:xfrm>
              <a:off x="4417684" y="2263337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225" name="Group Box 289" hidden="1">
                <a:extLst>
                  <a:ext uri="{63B3BB69-23CF-44E3-9099-C40C66FF867C}">
                    <a14:compatExt spid="_x0000_s40225"/>
                  </a:ext>
                  <a:ext uri="{FF2B5EF4-FFF2-40B4-BE49-F238E27FC236}">
                    <a16:creationId xmlns:a16="http://schemas.microsoft.com/office/drawing/2014/main" id="{00000000-0008-0000-1100-0000219D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26" name="Option Button 290" hidden="1">
                <a:extLst>
                  <a:ext uri="{63B3BB69-23CF-44E3-9099-C40C66FF867C}">
                    <a14:compatExt spid="_x0000_s40226"/>
                  </a:ext>
                  <a:ext uri="{FF2B5EF4-FFF2-40B4-BE49-F238E27FC236}">
                    <a16:creationId xmlns:a16="http://schemas.microsoft.com/office/drawing/2014/main" id="{00000000-0008-0000-1100-0000229D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7" name="Option Button 291" hidden="1">
                <a:extLst>
                  <a:ext uri="{63B3BB69-23CF-44E3-9099-C40C66FF867C}">
                    <a14:compatExt spid="_x0000_s40227"/>
                  </a:ext>
                  <a:ext uri="{FF2B5EF4-FFF2-40B4-BE49-F238E27FC236}">
                    <a16:creationId xmlns:a16="http://schemas.microsoft.com/office/drawing/2014/main" id="{00000000-0008-0000-1100-0000239D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8" name="Option Button 292" hidden="1">
                <a:extLst>
                  <a:ext uri="{63B3BB69-23CF-44E3-9099-C40C66FF867C}">
                    <a14:compatExt spid="_x0000_s40228"/>
                  </a:ext>
                  <a:ext uri="{FF2B5EF4-FFF2-40B4-BE49-F238E27FC236}">
                    <a16:creationId xmlns:a16="http://schemas.microsoft.com/office/drawing/2014/main" id="{00000000-0008-0000-1100-000024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9" name="Option Button 293" hidden="1">
                <a:extLst>
                  <a:ext uri="{63B3BB69-23CF-44E3-9099-C40C66FF867C}">
                    <a14:compatExt spid="_x0000_s40229"/>
                  </a:ext>
                  <a:ext uri="{FF2B5EF4-FFF2-40B4-BE49-F238E27FC236}">
                    <a16:creationId xmlns:a16="http://schemas.microsoft.com/office/drawing/2014/main" id="{00000000-0008-0000-1100-000025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30" name="Option Button 294" hidden="1">
                <a:extLst>
                  <a:ext uri="{63B3BB69-23CF-44E3-9099-C40C66FF867C}">
                    <a14:compatExt spid="_x0000_s40230"/>
                  </a:ext>
                  <a:ext uri="{FF2B5EF4-FFF2-40B4-BE49-F238E27FC236}">
                    <a16:creationId xmlns:a16="http://schemas.microsoft.com/office/drawing/2014/main" id="{00000000-0008-0000-1100-000026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64</xdr:row>
          <xdr:rowOff>19116</xdr:rowOff>
        </xdr:from>
        <xdr:to>
          <xdr:col>16</xdr:col>
          <xdr:colOff>76187</xdr:colOff>
          <xdr:row>64</xdr:row>
          <xdr:rowOff>213121</xdr:rowOff>
        </xdr:to>
        <xdr:grpSp>
          <xdr:nvGrpSpPr>
            <xdr:cNvPr id="440" name="Gruppieren 439">
              <a:extLst>
                <a:ext uri="{FF2B5EF4-FFF2-40B4-BE49-F238E27FC236}">
                  <a16:creationId xmlns:a16="http://schemas.microsoft.com/office/drawing/2014/main" id="{00000000-0008-0000-1100-0000B8010000}"/>
                </a:ext>
              </a:extLst>
            </xdr:cNvPr>
            <xdr:cNvGrpSpPr/>
          </xdr:nvGrpSpPr>
          <xdr:grpSpPr>
            <a:xfrm>
              <a:off x="4417684" y="23039136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231" name="Group Box 295" hidden="1">
                <a:extLst>
                  <a:ext uri="{63B3BB69-23CF-44E3-9099-C40C66FF867C}">
                    <a14:compatExt spid="_x0000_s40231"/>
                  </a:ext>
                  <a:ext uri="{FF2B5EF4-FFF2-40B4-BE49-F238E27FC236}">
                    <a16:creationId xmlns:a16="http://schemas.microsoft.com/office/drawing/2014/main" id="{00000000-0008-0000-1100-0000279D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32" name="Option Button 296" hidden="1">
                <a:extLst>
                  <a:ext uri="{63B3BB69-23CF-44E3-9099-C40C66FF867C}">
                    <a14:compatExt spid="_x0000_s40232"/>
                  </a:ext>
                  <a:ext uri="{FF2B5EF4-FFF2-40B4-BE49-F238E27FC236}">
                    <a16:creationId xmlns:a16="http://schemas.microsoft.com/office/drawing/2014/main" id="{00000000-0008-0000-1100-0000289D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33" name="Option Button 297" hidden="1">
                <a:extLst>
                  <a:ext uri="{63B3BB69-23CF-44E3-9099-C40C66FF867C}">
                    <a14:compatExt spid="_x0000_s40233"/>
                  </a:ext>
                  <a:ext uri="{FF2B5EF4-FFF2-40B4-BE49-F238E27FC236}">
                    <a16:creationId xmlns:a16="http://schemas.microsoft.com/office/drawing/2014/main" id="{00000000-0008-0000-1100-0000299D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34" name="Option Button 298" hidden="1">
                <a:extLst>
                  <a:ext uri="{63B3BB69-23CF-44E3-9099-C40C66FF867C}">
                    <a14:compatExt spid="_x0000_s40234"/>
                  </a:ext>
                  <a:ext uri="{FF2B5EF4-FFF2-40B4-BE49-F238E27FC236}">
                    <a16:creationId xmlns:a16="http://schemas.microsoft.com/office/drawing/2014/main" id="{00000000-0008-0000-1100-00002A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35" name="Option Button 299" hidden="1">
                <a:extLst>
                  <a:ext uri="{63B3BB69-23CF-44E3-9099-C40C66FF867C}">
                    <a14:compatExt spid="_x0000_s40235"/>
                  </a:ext>
                  <a:ext uri="{FF2B5EF4-FFF2-40B4-BE49-F238E27FC236}">
                    <a16:creationId xmlns:a16="http://schemas.microsoft.com/office/drawing/2014/main" id="{00000000-0008-0000-1100-00002B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36" name="Option Button 300" hidden="1">
                <a:extLst>
                  <a:ext uri="{63B3BB69-23CF-44E3-9099-C40C66FF867C}">
                    <a14:compatExt spid="_x0000_s40236"/>
                  </a:ext>
                  <a:ext uri="{FF2B5EF4-FFF2-40B4-BE49-F238E27FC236}">
                    <a16:creationId xmlns:a16="http://schemas.microsoft.com/office/drawing/2014/main" id="{00000000-0008-0000-1100-00002C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65</xdr:row>
          <xdr:rowOff>9591</xdr:rowOff>
        </xdr:from>
        <xdr:to>
          <xdr:col>16</xdr:col>
          <xdr:colOff>76187</xdr:colOff>
          <xdr:row>65</xdr:row>
          <xdr:rowOff>203596</xdr:rowOff>
        </xdr:to>
        <xdr:grpSp>
          <xdr:nvGrpSpPr>
            <xdr:cNvPr id="447" name="Gruppieren 446">
              <a:extLst>
                <a:ext uri="{FF2B5EF4-FFF2-40B4-BE49-F238E27FC236}">
                  <a16:creationId xmlns:a16="http://schemas.microsoft.com/office/drawing/2014/main" id="{00000000-0008-0000-1100-0000BF010000}"/>
                </a:ext>
              </a:extLst>
            </xdr:cNvPr>
            <xdr:cNvGrpSpPr/>
          </xdr:nvGrpSpPr>
          <xdr:grpSpPr>
            <a:xfrm>
              <a:off x="4417684" y="2342585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237" name="Group Box 301" hidden="1">
                <a:extLst>
                  <a:ext uri="{63B3BB69-23CF-44E3-9099-C40C66FF867C}">
                    <a14:compatExt spid="_x0000_s40237"/>
                  </a:ext>
                  <a:ext uri="{FF2B5EF4-FFF2-40B4-BE49-F238E27FC236}">
                    <a16:creationId xmlns:a16="http://schemas.microsoft.com/office/drawing/2014/main" id="{00000000-0008-0000-1100-00002D9D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38" name="Option Button 302" hidden="1">
                <a:extLst>
                  <a:ext uri="{63B3BB69-23CF-44E3-9099-C40C66FF867C}">
                    <a14:compatExt spid="_x0000_s40238"/>
                  </a:ext>
                  <a:ext uri="{FF2B5EF4-FFF2-40B4-BE49-F238E27FC236}">
                    <a16:creationId xmlns:a16="http://schemas.microsoft.com/office/drawing/2014/main" id="{00000000-0008-0000-1100-00002E9D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39" name="Option Button 303" hidden="1">
                <a:extLst>
                  <a:ext uri="{63B3BB69-23CF-44E3-9099-C40C66FF867C}">
                    <a14:compatExt spid="_x0000_s40239"/>
                  </a:ext>
                  <a:ext uri="{FF2B5EF4-FFF2-40B4-BE49-F238E27FC236}">
                    <a16:creationId xmlns:a16="http://schemas.microsoft.com/office/drawing/2014/main" id="{00000000-0008-0000-1100-00002F9D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0" name="Option Button 304" hidden="1">
                <a:extLst>
                  <a:ext uri="{63B3BB69-23CF-44E3-9099-C40C66FF867C}">
                    <a14:compatExt spid="_x0000_s40240"/>
                  </a:ext>
                  <a:ext uri="{FF2B5EF4-FFF2-40B4-BE49-F238E27FC236}">
                    <a16:creationId xmlns:a16="http://schemas.microsoft.com/office/drawing/2014/main" id="{00000000-0008-0000-1100-000030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1" name="Option Button 305" hidden="1">
                <a:extLst>
                  <a:ext uri="{63B3BB69-23CF-44E3-9099-C40C66FF867C}">
                    <a14:compatExt spid="_x0000_s40241"/>
                  </a:ext>
                  <a:ext uri="{FF2B5EF4-FFF2-40B4-BE49-F238E27FC236}">
                    <a16:creationId xmlns:a16="http://schemas.microsoft.com/office/drawing/2014/main" id="{00000000-0008-0000-1100-000031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2" name="Option Button 306" hidden="1">
                <a:extLst>
                  <a:ext uri="{63B3BB69-23CF-44E3-9099-C40C66FF867C}">
                    <a14:compatExt spid="_x0000_s40242"/>
                  </a:ext>
                  <a:ext uri="{FF2B5EF4-FFF2-40B4-BE49-F238E27FC236}">
                    <a16:creationId xmlns:a16="http://schemas.microsoft.com/office/drawing/2014/main" id="{00000000-0008-0000-1100-000032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66</xdr:row>
          <xdr:rowOff>9591</xdr:rowOff>
        </xdr:from>
        <xdr:to>
          <xdr:col>16</xdr:col>
          <xdr:colOff>76187</xdr:colOff>
          <xdr:row>66</xdr:row>
          <xdr:rowOff>203596</xdr:rowOff>
        </xdr:to>
        <xdr:grpSp>
          <xdr:nvGrpSpPr>
            <xdr:cNvPr id="454" name="Gruppieren 453">
              <a:extLst>
                <a:ext uri="{FF2B5EF4-FFF2-40B4-BE49-F238E27FC236}">
                  <a16:creationId xmlns:a16="http://schemas.microsoft.com/office/drawing/2014/main" id="{00000000-0008-0000-1100-0000C6010000}"/>
                </a:ext>
              </a:extLst>
            </xdr:cNvPr>
            <xdr:cNvGrpSpPr/>
          </xdr:nvGrpSpPr>
          <xdr:grpSpPr>
            <a:xfrm>
              <a:off x="4417684" y="2382209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243" name="Group Box 307" hidden="1">
                <a:extLst>
                  <a:ext uri="{63B3BB69-23CF-44E3-9099-C40C66FF867C}">
                    <a14:compatExt spid="_x0000_s40243"/>
                  </a:ext>
                  <a:ext uri="{FF2B5EF4-FFF2-40B4-BE49-F238E27FC236}">
                    <a16:creationId xmlns:a16="http://schemas.microsoft.com/office/drawing/2014/main" id="{00000000-0008-0000-1100-0000339D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44" name="Option Button 308" hidden="1">
                <a:extLst>
                  <a:ext uri="{63B3BB69-23CF-44E3-9099-C40C66FF867C}">
                    <a14:compatExt spid="_x0000_s40244"/>
                  </a:ext>
                  <a:ext uri="{FF2B5EF4-FFF2-40B4-BE49-F238E27FC236}">
                    <a16:creationId xmlns:a16="http://schemas.microsoft.com/office/drawing/2014/main" id="{00000000-0008-0000-1100-0000349D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5" name="Option Button 309" hidden="1">
                <a:extLst>
                  <a:ext uri="{63B3BB69-23CF-44E3-9099-C40C66FF867C}">
                    <a14:compatExt spid="_x0000_s40245"/>
                  </a:ext>
                  <a:ext uri="{FF2B5EF4-FFF2-40B4-BE49-F238E27FC236}">
                    <a16:creationId xmlns:a16="http://schemas.microsoft.com/office/drawing/2014/main" id="{00000000-0008-0000-1100-0000359D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6" name="Option Button 310" hidden="1">
                <a:extLst>
                  <a:ext uri="{63B3BB69-23CF-44E3-9099-C40C66FF867C}">
                    <a14:compatExt spid="_x0000_s40246"/>
                  </a:ext>
                  <a:ext uri="{FF2B5EF4-FFF2-40B4-BE49-F238E27FC236}">
                    <a16:creationId xmlns:a16="http://schemas.microsoft.com/office/drawing/2014/main" id="{00000000-0008-0000-1100-000036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7" name="Option Button 311" hidden="1">
                <a:extLst>
                  <a:ext uri="{63B3BB69-23CF-44E3-9099-C40C66FF867C}">
                    <a14:compatExt spid="_x0000_s40247"/>
                  </a:ext>
                  <a:ext uri="{FF2B5EF4-FFF2-40B4-BE49-F238E27FC236}">
                    <a16:creationId xmlns:a16="http://schemas.microsoft.com/office/drawing/2014/main" id="{00000000-0008-0000-1100-000037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8" name="Option Button 312" hidden="1">
                <a:extLst>
                  <a:ext uri="{63B3BB69-23CF-44E3-9099-C40C66FF867C}">
                    <a14:compatExt spid="_x0000_s40248"/>
                  </a:ext>
                  <a:ext uri="{FF2B5EF4-FFF2-40B4-BE49-F238E27FC236}">
                    <a16:creationId xmlns:a16="http://schemas.microsoft.com/office/drawing/2014/main" id="{00000000-0008-0000-1100-000038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67</xdr:row>
          <xdr:rowOff>9591</xdr:rowOff>
        </xdr:from>
        <xdr:to>
          <xdr:col>16</xdr:col>
          <xdr:colOff>76187</xdr:colOff>
          <xdr:row>67</xdr:row>
          <xdr:rowOff>203596</xdr:rowOff>
        </xdr:to>
        <xdr:grpSp>
          <xdr:nvGrpSpPr>
            <xdr:cNvPr id="461" name="Gruppieren 460">
              <a:extLst>
                <a:ext uri="{FF2B5EF4-FFF2-40B4-BE49-F238E27FC236}">
                  <a16:creationId xmlns:a16="http://schemas.microsoft.com/office/drawing/2014/main" id="{00000000-0008-0000-1100-0000CD010000}"/>
                </a:ext>
              </a:extLst>
            </xdr:cNvPr>
            <xdr:cNvGrpSpPr/>
          </xdr:nvGrpSpPr>
          <xdr:grpSpPr>
            <a:xfrm>
              <a:off x="4417684" y="24218331"/>
              <a:ext cx="2295523" cy="194005"/>
              <a:chOff x="3581237" y="2104611"/>
              <a:chExt cx="2247895" cy="276226"/>
            </a:xfrm>
          </xdr:grpSpPr>
          <xdr:sp macro="" textlink="">
            <xdr:nvSpPr>
              <xdr:cNvPr id="40249" name="Group Box 313" hidden="1">
                <a:extLst>
                  <a:ext uri="{63B3BB69-23CF-44E3-9099-C40C66FF867C}">
                    <a14:compatExt spid="_x0000_s40249"/>
                  </a:ext>
                  <a:ext uri="{FF2B5EF4-FFF2-40B4-BE49-F238E27FC236}">
                    <a16:creationId xmlns:a16="http://schemas.microsoft.com/office/drawing/2014/main" id="{00000000-0008-0000-1100-0000399D0000}"/>
                  </a:ext>
                </a:extLst>
              </xdr:cNvPr>
              <xdr:cNvSpPr/>
            </xdr:nvSpPr>
            <xdr:spPr bwMode="auto">
              <a:xfrm>
                <a:off x="3581237" y="2104611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50" name="Option Button 314" hidden="1">
                <a:extLst>
                  <a:ext uri="{63B3BB69-23CF-44E3-9099-C40C66FF867C}">
                    <a14:compatExt spid="_x0000_s40250"/>
                  </a:ext>
                  <a:ext uri="{FF2B5EF4-FFF2-40B4-BE49-F238E27FC236}">
                    <a16:creationId xmlns:a16="http://schemas.microsoft.com/office/drawing/2014/main" id="{00000000-0008-0000-1100-00003A9D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1" name="Option Button 315" hidden="1">
                <a:extLst>
                  <a:ext uri="{63B3BB69-23CF-44E3-9099-C40C66FF867C}">
                    <a14:compatExt spid="_x0000_s40251"/>
                  </a:ext>
                  <a:ext uri="{FF2B5EF4-FFF2-40B4-BE49-F238E27FC236}">
                    <a16:creationId xmlns:a16="http://schemas.microsoft.com/office/drawing/2014/main" id="{00000000-0008-0000-1100-00003B9D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2" name="Option Button 316" hidden="1">
                <a:extLst>
                  <a:ext uri="{63B3BB69-23CF-44E3-9099-C40C66FF867C}">
                    <a14:compatExt spid="_x0000_s40252"/>
                  </a:ext>
                  <a:ext uri="{FF2B5EF4-FFF2-40B4-BE49-F238E27FC236}">
                    <a16:creationId xmlns:a16="http://schemas.microsoft.com/office/drawing/2014/main" id="{00000000-0008-0000-1100-00003C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3" name="Option Button 317" hidden="1">
                <a:extLst>
                  <a:ext uri="{63B3BB69-23CF-44E3-9099-C40C66FF867C}">
                    <a14:compatExt spid="_x0000_s40253"/>
                  </a:ext>
                  <a:ext uri="{FF2B5EF4-FFF2-40B4-BE49-F238E27FC236}">
                    <a16:creationId xmlns:a16="http://schemas.microsoft.com/office/drawing/2014/main" id="{00000000-0008-0000-1100-00003D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4" name="Option Button 318" hidden="1">
                <a:extLst>
                  <a:ext uri="{63B3BB69-23CF-44E3-9099-C40C66FF867C}">
                    <a14:compatExt spid="_x0000_s40254"/>
                  </a:ext>
                  <a:ext uri="{FF2B5EF4-FFF2-40B4-BE49-F238E27FC236}">
                    <a16:creationId xmlns:a16="http://schemas.microsoft.com/office/drawing/2014/main" id="{00000000-0008-0000-1100-00003E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62</xdr:row>
      <xdr:rowOff>66674</xdr:rowOff>
    </xdr:from>
    <xdr:to>
      <xdr:col>21</xdr:col>
      <xdr:colOff>133349</xdr:colOff>
      <xdr:row>67</xdr:row>
      <xdr:rowOff>219074</xdr:rowOff>
    </xdr:to>
    <xdr:graphicFrame macro="">
      <xdr:nvGraphicFramePr>
        <xdr:cNvPr id="468" name="Diagramm 467">
          <a:extLst>
            <a:ext uri="{FF2B5EF4-FFF2-40B4-BE49-F238E27FC236}">
              <a16:creationId xmlns:a16="http://schemas.microsoft.com/office/drawing/2014/main" id="{00000000-0008-0000-1100-0000D4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70</xdr:row>
          <xdr:rowOff>28578</xdr:rowOff>
        </xdr:from>
        <xdr:to>
          <xdr:col>16</xdr:col>
          <xdr:colOff>76181</xdr:colOff>
          <xdr:row>70</xdr:row>
          <xdr:rowOff>204311</xdr:rowOff>
        </xdr:to>
        <xdr:grpSp>
          <xdr:nvGrpSpPr>
            <xdr:cNvPr id="469" name="Gruppieren 468">
              <a:extLst>
                <a:ext uri="{FF2B5EF4-FFF2-40B4-BE49-F238E27FC236}">
                  <a16:creationId xmlns:a16="http://schemas.microsoft.com/office/drawing/2014/main" id="{00000000-0008-0000-1100-0000D5010000}"/>
                </a:ext>
              </a:extLst>
            </xdr:cNvPr>
            <xdr:cNvGrpSpPr/>
          </xdr:nvGrpSpPr>
          <xdr:grpSpPr>
            <a:xfrm>
              <a:off x="4417682" y="2522791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255" name="Group Box 319" hidden="1">
                <a:extLst>
                  <a:ext uri="{63B3BB69-23CF-44E3-9099-C40C66FF867C}">
                    <a14:compatExt spid="_x0000_s40255"/>
                  </a:ext>
                  <a:ext uri="{FF2B5EF4-FFF2-40B4-BE49-F238E27FC236}">
                    <a16:creationId xmlns:a16="http://schemas.microsoft.com/office/drawing/2014/main" id="{00000000-0008-0000-1100-00003F9D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56" name="Option Button 320" hidden="1">
                <a:extLst>
                  <a:ext uri="{63B3BB69-23CF-44E3-9099-C40C66FF867C}">
                    <a14:compatExt spid="_x0000_s40256"/>
                  </a:ext>
                  <a:ext uri="{FF2B5EF4-FFF2-40B4-BE49-F238E27FC236}">
                    <a16:creationId xmlns:a16="http://schemas.microsoft.com/office/drawing/2014/main" id="{00000000-0008-0000-1100-0000409D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7" name="Option Button 321" hidden="1">
                <a:extLst>
                  <a:ext uri="{63B3BB69-23CF-44E3-9099-C40C66FF867C}">
                    <a14:compatExt spid="_x0000_s40257"/>
                  </a:ext>
                  <a:ext uri="{FF2B5EF4-FFF2-40B4-BE49-F238E27FC236}">
                    <a16:creationId xmlns:a16="http://schemas.microsoft.com/office/drawing/2014/main" id="{00000000-0008-0000-1100-0000419D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8" name="Option Button 322" hidden="1">
                <a:extLst>
                  <a:ext uri="{63B3BB69-23CF-44E3-9099-C40C66FF867C}">
                    <a14:compatExt spid="_x0000_s40258"/>
                  </a:ext>
                  <a:ext uri="{FF2B5EF4-FFF2-40B4-BE49-F238E27FC236}">
                    <a16:creationId xmlns:a16="http://schemas.microsoft.com/office/drawing/2014/main" id="{00000000-0008-0000-1100-0000429D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9" name="Option Button 323" hidden="1">
                <a:extLst>
                  <a:ext uri="{63B3BB69-23CF-44E3-9099-C40C66FF867C}">
                    <a14:compatExt spid="_x0000_s40259"/>
                  </a:ext>
                  <a:ext uri="{FF2B5EF4-FFF2-40B4-BE49-F238E27FC236}">
                    <a16:creationId xmlns:a16="http://schemas.microsoft.com/office/drawing/2014/main" id="{00000000-0008-0000-1100-0000439D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60" name="Option Button 324" hidden="1">
                <a:extLst>
                  <a:ext uri="{63B3BB69-23CF-44E3-9099-C40C66FF867C}">
                    <a14:compatExt spid="_x0000_s40260"/>
                  </a:ext>
                  <a:ext uri="{FF2B5EF4-FFF2-40B4-BE49-F238E27FC236}">
                    <a16:creationId xmlns:a16="http://schemas.microsoft.com/office/drawing/2014/main" id="{00000000-0008-0000-1100-0000449D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71</xdr:row>
          <xdr:rowOff>9528</xdr:rowOff>
        </xdr:from>
        <xdr:to>
          <xdr:col>16</xdr:col>
          <xdr:colOff>76181</xdr:colOff>
          <xdr:row>71</xdr:row>
          <xdr:rowOff>185261</xdr:rowOff>
        </xdr:to>
        <xdr:grpSp>
          <xdr:nvGrpSpPr>
            <xdr:cNvPr id="476" name="Gruppieren 475">
              <a:extLst>
                <a:ext uri="{FF2B5EF4-FFF2-40B4-BE49-F238E27FC236}">
                  <a16:creationId xmlns:a16="http://schemas.microsoft.com/office/drawing/2014/main" id="{00000000-0008-0000-1100-0000DC010000}"/>
                </a:ext>
              </a:extLst>
            </xdr:cNvPr>
            <xdr:cNvGrpSpPr/>
          </xdr:nvGrpSpPr>
          <xdr:grpSpPr>
            <a:xfrm>
              <a:off x="4417682" y="2560510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261" name="Group Box 325" hidden="1">
                <a:extLst>
                  <a:ext uri="{63B3BB69-23CF-44E3-9099-C40C66FF867C}">
                    <a14:compatExt spid="_x0000_s40261"/>
                  </a:ext>
                  <a:ext uri="{FF2B5EF4-FFF2-40B4-BE49-F238E27FC236}">
                    <a16:creationId xmlns:a16="http://schemas.microsoft.com/office/drawing/2014/main" id="{00000000-0008-0000-1100-0000459D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62" name="Option Button 326" hidden="1">
                <a:extLst>
                  <a:ext uri="{63B3BB69-23CF-44E3-9099-C40C66FF867C}">
                    <a14:compatExt spid="_x0000_s40262"/>
                  </a:ext>
                  <a:ext uri="{FF2B5EF4-FFF2-40B4-BE49-F238E27FC236}">
                    <a16:creationId xmlns:a16="http://schemas.microsoft.com/office/drawing/2014/main" id="{00000000-0008-0000-1100-0000469D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63" name="Option Button 327" hidden="1">
                <a:extLst>
                  <a:ext uri="{63B3BB69-23CF-44E3-9099-C40C66FF867C}">
                    <a14:compatExt spid="_x0000_s40263"/>
                  </a:ext>
                  <a:ext uri="{FF2B5EF4-FFF2-40B4-BE49-F238E27FC236}">
                    <a16:creationId xmlns:a16="http://schemas.microsoft.com/office/drawing/2014/main" id="{00000000-0008-0000-1100-0000479D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64" name="Option Button 328" hidden="1">
                <a:extLst>
                  <a:ext uri="{63B3BB69-23CF-44E3-9099-C40C66FF867C}">
                    <a14:compatExt spid="_x0000_s40264"/>
                  </a:ext>
                  <a:ext uri="{FF2B5EF4-FFF2-40B4-BE49-F238E27FC236}">
                    <a16:creationId xmlns:a16="http://schemas.microsoft.com/office/drawing/2014/main" id="{00000000-0008-0000-1100-0000489D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65" name="Option Button 329" hidden="1">
                <a:extLst>
                  <a:ext uri="{63B3BB69-23CF-44E3-9099-C40C66FF867C}">
                    <a14:compatExt spid="_x0000_s40265"/>
                  </a:ext>
                  <a:ext uri="{FF2B5EF4-FFF2-40B4-BE49-F238E27FC236}">
                    <a16:creationId xmlns:a16="http://schemas.microsoft.com/office/drawing/2014/main" id="{00000000-0008-0000-1100-0000499D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66" name="Option Button 330" hidden="1">
                <a:extLst>
                  <a:ext uri="{63B3BB69-23CF-44E3-9099-C40C66FF867C}">
                    <a14:compatExt spid="_x0000_s40266"/>
                  </a:ext>
                  <a:ext uri="{FF2B5EF4-FFF2-40B4-BE49-F238E27FC236}">
                    <a16:creationId xmlns:a16="http://schemas.microsoft.com/office/drawing/2014/main" id="{00000000-0008-0000-1100-00004A9D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72</xdr:row>
          <xdr:rowOff>19053</xdr:rowOff>
        </xdr:from>
        <xdr:to>
          <xdr:col>16</xdr:col>
          <xdr:colOff>76181</xdr:colOff>
          <xdr:row>72</xdr:row>
          <xdr:rowOff>194786</xdr:rowOff>
        </xdr:to>
        <xdr:grpSp>
          <xdr:nvGrpSpPr>
            <xdr:cNvPr id="483" name="Gruppieren 482">
              <a:extLst>
                <a:ext uri="{FF2B5EF4-FFF2-40B4-BE49-F238E27FC236}">
                  <a16:creationId xmlns:a16="http://schemas.microsoft.com/office/drawing/2014/main" id="{00000000-0008-0000-1100-0000E3010000}"/>
                </a:ext>
              </a:extLst>
            </xdr:cNvPr>
            <xdr:cNvGrpSpPr/>
          </xdr:nvGrpSpPr>
          <xdr:grpSpPr>
            <a:xfrm>
              <a:off x="4417682" y="26010873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267" name="Group Box 331" hidden="1">
                <a:extLst>
                  <a:ext uri="{63B3BB69-23CF-44E3-9099-C40C66FF867C}">
                    <a14:compatExt spid="_x0000_s40267"/>
                  </a:ext>
                  <a:ext uri="{FF2B5EF4-FFF2-40B4-BE49-F238E27FC236}">
                    <a16:creationId xmlns:a16="http://schemas.microsoft.com/office/drawing/2014/main" id="{00000000-0008-0000-1100-00004B9D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68" name="Option Button 332" hidden="1">
                <a:extLst>
                  <a:ext uri="{63B3BB69-23CF-44E3-9099-C40C66FF867C}">
                    <a14:compatExt spid="_x0000_s40268"/>
                  </a:ext>
                  <a:ext uri="{FF2B5EF4-FFF2-40B4-BE49-F238E27FC236}">
                    <a16:creationId xmlns:a16="http://schemas.microsoft.com/office/drawing/2014/main" id="{00000000-0008-0000-1100-00004C9D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69" name="Option Button 333" hidden="1">
                <a:extLst>
                  <a:ext uri="{63B3BB69-23CF-44E3-9099-C40C66FF867C}">
                    <a14:compatExt spid="_x0000_s40269"/>
                  </a:ext>
                  <a:ext uri="{FF2B5EF4-FFF2-40B4-BE49-F238E27FC236}">
                    <a16:creationId xmlns:a16="http://schemas.microsoft.com/office/drawing/2014/main" id="{00000000-0008-0000-1100-00004D9D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0" name="Option Button 334" hidden="1">
                <a:extLst>
                  <a:ext uri="{63B3BB69-23CF-44E3-9099-C40C66FF867C}">
                    <a14:compatExt spid="_x0000_s40270"/>
                  </a:ext>
                  <a:ext uri="{FF2B5EF4-FFF2-40B4-BE49-F238E27FC236}">
                    <a16:creationId xmlns:a16="http://schemas.microsoft.com/office/drawing/2014/main" id="{00000000-0008-0000-1100-00004E9D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1" name="Option Button 335" hidden="1">
                <a:extLst>
                  <a:ext uri="{63B3BB69-23CF-44E3-9099-C40C66FF867C}">
                    <a14:compatExt spid="_x0000_s40271"/>
                  </a:ext>
                  <a:ext uri="{FF2B5EF4-FFF2-40B4-BE49-F238E27FC236}">
                    <a16:creationId xmlns:a16="http://schemas.microsoft.com/office/drawing/2014/main" id="{00000000-0008-0000-1100-00004F9D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2" name="Option Button 336" hidden="1">
                <a:extLst>
                  <a:ext uri="{63B3BB69-23CF-44E3-9099-C40C66FF867C}">
                    <a14:compatExt spid="_x0000_s40272"/>
                  </a:ext>
                  <a:ext uri="{FF2B5EF4-FFF2-40B4-BE49-F238E27FC236}">
                    <a16:creationId xmlns:a16="http://schemas.microsoft.com/office/drawing/2014/main" id="{00000000-0008-0000-1100-0000509D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73</xdr:row>
          <xdr:rowOff>19053</xdr:rowOff>
        </xdr:from>
        <xdr:to>
          <xdr:col>16</xdr:col>
          <xdr:colOff>76181</xdr:colOff>
          <xdr:row>73</xdr:row>
          <xdr:rowOff>194786</xdr:rowOff>
        </xdr:to>
        <xdr:grpSp>
          <xdr:nvGrpSpPr>
            <xdr:cNvPr id="490" name="Gruppieren 489">
              <a:extLst>
                <a:ext uri="{FF2B5EF4-FFF2-40B4-BE49-F238E27FC236}">
                  <a16:creationId xmlns:a16="http://schemas.microsoft.com/office/drawing/2014/main" id="{00000000-0008-0000-1100-0000EA010000}"/>
                </a:ext>
              </a:extLst>
            </xdr:cNvPr>
            <xdr:cNvGrpSpPr/>
          </xdr:nvGrpSpPr>
          <xdr:grpSpPr>
            <a:xfrm>
              <a:off x="4417682" y="26407113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273" name="Group Box 337" hidden="1">
                <a:extLst>
                  <a:ext uri="{63B3BB69-23CF-44E3-9099-C40C66FF867C}">
                    <a14:compatExt spid="_x0000_s40273"/>
                  </a:ext>
                  <a:ext uri="{FF2B5EF4-FFF2-40B4-BE49-F238E27FC236}">
                    <a16:creationId xmlns:a16="http://schemas.microsoft.com/office/drawing/2014/main" id="{00000000-0008-0000-1100-0000519D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74" name="Option Button 338" hidden="1">
                <a:extLst>
                  <a:ext uri="{63B3BB69-23CF-44E3-9099-C40C66FF867C}">
                    <a14:compatExt spid="_x0000_s40274"/>
                  </a:ext>
                  <a:ext uri="{FF2B5EF4-FFF2-40B4-BE49-F238E27FC236}">
                    <a16:creationId xmlns:a16="http://schemas.microsoft.com/office/drawing/2014/main" id="{00000000-0008-0000-1100-0000529D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5" name="Option Button 339" hidden="1">
                <a:extLst>
                  <a:ext uri="{63B3BB69-23CF-44E3-9099-C40C66FF867C}">
                    <a14:compatExt spid="_x0000_s40275"/>
                  </a:ext>
                  <a:ext uri="{FF2B5EF4-FFF2-40B4-BE49-F238E27FC236}">
                    <a16:creationId xmlns:a16="http://schemas.microsoft.com/office/drawing/2014/main" id="{00000000-0008-0000-1100-0000539D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6" name="Option Button 340" hidden="1">
                <a:extLst>
                  <a:ext uri="{63B3BB69-23CF-44E3-9099-C40C66FF867C}">
                    <a14:compatExt spid="_x0000_s40276"/>
                  </a:ext>
                  <a:ext uri="{FF2B5EF4-FFF2-40B4-BE49-F238E27FC236}">
                    <a16:creationId xmlns:a16="http://schemas.microsoft.com/office/drawing/2014/main" id="{00000000-0008-0000-1100-0000549D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7" name="Option Button 341" hidden="1">
                <a:extLst>
                  <a:ext uri="{63B3BB69-23CF-44E3-9099-C40C66FF867C}">
                    <a14:compatExt spid="_x0000_s40277"/>
                  </a:ext>
                  <a:ext uri="{FF2B5EF4-FFF2-40B4-BE49-F238E27FC236}">
                    <a16:creationId xmlns:a16="http://schemas.microsoft.com/office/drawing/2014/main" id="{00000000-0008-0000-1100-0000559D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8" name="Option Button 342" hidden="1">
                <a:extLst>
                  <a:ext uri="{63B3BB69-23CF-44E3-9099-C40C66FF867C}">
                    <a14:compatExt spid="_x0000_s40278"/>
                  </a:ext>
                  <a:ext uri="{FF2B5EF4-FFF2-40B4-BE49-F238E27FC236}">
                    <a16:creationId xmlns:a16="http://schemas.microsoft.com/office/drawing/2014/main" id="{00000000-0008-0000-1100-0000569D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74</xdr:row>
          <xdr:rowOff>28578</xdr:rowOff>
        </xdr:from>
        <xdr:to>
          <xdr:col>16</xdr:col>
          <xdr:colOff>76181</xdr:colOff>
          <xdr:row>74</xdr:row>
          <xdr:rowOff>204311</xdr:rowOff>
        </xdr:to>
        <xdr:grpSp>
          <xdr:nvGrpSpPr>
            <xdr:cNvPr id="497" name="Gruppieren 496">
              <a:extLst>
                <a:ext uri="{FF2B5EF4-FFF2-40B4-BE49-F238E27FC236}">
                  <a16:creationId xmlns:a16="http://schemas.microsoft.com/office/drawing/2014/main" id="{00000000-0008-0000-1100-0000F1010000}"/>
                </a:ext>
              </a:extLst>
            </xdr:cNvPr>
            <xdr:cNvGrpSpPr/>
          </xdr:nvGrpSpPr>
          <xdr:grpSpPr>
            <a:xfrm>
              <a:off x="4417682" y="26812878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279" name="Group Box 343" hidden="1">
                <a:extLst>
                  <a:ext uri="{63B3BB69-23CF-44E3-9099-C40C66FF867C}">
                    <a14:compatExt spid="_x0000_s40279"/>
                  </a:ext>
                  <a:ext uri="{FF2B5EF4-FFF2-40B4-BE49-F238E27FC236}">
                    <a16:creationId xmlns:a16="http://schemas.microsoft.com/office/drawing/2014/main" id="{00000000-0008-0000-1100-0000579D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80" name="Option Button 344" hidden="1">
                <a:extLst>
                  <a:ext uri="{63B3BB69-23CF-44E3-9099-C40C66FF867C}">
                    <a14:compatExt spid="_x0000_s40280"/>
                  </a:ext>
                  <a:ext uri="{FF2B5EF4-FFF2-40B4-BE49-F238E27FC236}">
                    <a16:creationId xmlns:a16="http://schemas.microsoft.com/office/drawing/2014/main" id="{00000000-0008-0000-1100-0000589D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1" name="Option Button 345" hidden="1">
                <a:extLst>
                  <a:ext uri="{63B3BB69-23CF-44E3-9099-C40C66FF867C}">
                    <a14:compatExt spid="_x0000_s40281"/>
                  </a:ext>
                  <a:ext uri="{FF2B5EF4-FFF2-40B4-BE49-F238E27FC236}">
                    <a16:creationId xmlns:a16="http://schemas.microsoft.com/office/drawing/2014/main" id="{00000000-0008-0000-1100-0000599D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2" name="Option Button 346" hidden="1">
                <a:extLst>
                  <a:ext uri="{63B3BB69-23CF-44E3-9099-C40C66FF867C}">
                    <a14:compatExt spid="_x0000_s40282"/>
                  </a:ext>
                  <a:ext uri="{FF2B5EF4-FFF2-40B4-BE49-F238E27FC236}">
                    <a16:creationId xmlns:a16="http://schemas.microsoft.com/office/drawing/2014/main" id="{00000000-0008-0000-1100-00005A9D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3" name="Option Button 347" hidden="1">
                <a:extLst>
                  <a:ext uri="{63B3BB69-23CF-44E3-9099-C40C66FF867C}">
                    <a14:compatExt spid="_x0000_s40283"/>
                  </a:ext>
                  <a:ext uri="{FF2B5EF4-FFF2-40B4-BE49-F238E27FC236}">
                    <a16:creationId xmlns:a16="http://schemas.microsoft.com/office/drawing/2014/main" id="{00000000-0008-0000-1100-00005B9D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4" name="Option Button 348" hidden="1">
                <a:extLst>
                  <a:ext uri="{63B3BB69-23CF-44E3-9099-C40C66FF867C}">
                    <a14:compatExt spid="_x0000_s40284"/>
                  </a:ext>
                  <a:ext uri="{FF2B5EF4-FFF2-40B4-BE49-F238E27FC236}">
                    <a16:creationId xmlns:a16="http://schemas.microsoft.com/office/drawing/2014/main" id="{00000000-0008-0000-1100-00005C9D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75</xdr:row>
          <xdr:rowOff>19053</xdr:rowOff>
        </xdr:from>
        <xdr:to>
          <xdr:col>16</xdr:col>
          <xdr:colOff>76181</xdr:colOff>
          <xdr:row>75</xdr:row>
          <xdr:rowOff>194786</xdr:rowOff>
        </xdr:to>
        <xdr:grpSp>
          <xdr:nvGrpSpPr>
            <xdr:cNvPr id="504" name="Gruppieren 503">
              <a:extLst>
                <a:ext uri="{FF2B5EF4-FFF2-40B4-BE49-F238E27FC236}">
                  <a16:creationId xmlns:a16="http://schemas.microsoft.com/office/drawing/2014/main" id="{00000000-0008-0000-1100-0000F8010000}"/>
                </a:ext>
              </a:extLst>
            </xdr:cNvPr>
            <xdr:cNvGrpSpPr/>
          </xdr:nvGrpSpPr>
          <xdr:grpSpPr>
            <a:xfrm>
              <a:off x="4417682" y="27199593"/>
              <a:ext cx="2295519" cy="175733"/>
              <a:chOff x="3581395" y="2105537"/>
              <a:chExt cx="2247893" cy="276224"/>
            </a:xfrm>
          </xdr:grpSpPr>
          <xdr:sp macro="" textlink="">
            <xdr:nvSpPr>
              <xdr:cNvPr id="40285" name="Group Box 349" hidden="1">
                <a:extLst>
                  <a:ext uri="{63B3BB69-23CF-44E3-9099-C40C66FF867C}">
                    <a14:compatExt spid="_x0000_s40285"/>
                  </a:ext>
                  <a:ext uri="{FF2B5EF4-FFF2-40B4-BE49-F238E27FC236}">
                    <a16:creationId xmlns:a16="http://schemas.microsoft.com/office/drawing/2014/main" id="{00000000-0008-0000-1100-00005D9D0000}"/>
                  </a:ext>
                </a:extLst>
              </xdr:cNvPr>
              <xdr:cNvSpPr/>
            </xdr:nvSpPr>
            <xdr:spPr bwMode="auto">
              <a:xfrm>
                <a:off x="3581395" y="2105537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86" name="Option Button 350" hidden="1">
                <a:extLst>
                  <a:ext uri="{63B3BB69-23CF-44E3-9099-C40C66FF867C}">
                    <a14:compatExt spid="_x0000_s40286"/>
                  </a:ext>
                  <a:ext uri="{FF2B5EF4-FFF2-40B4-BE49-F238E27FC236}">
                    <a16:creationId xmlns:a16="http://schemas.microsoft.com/office/drawing/2014/main" id="{00000000-0008-0000-1100-00005E9D0000}"/>
                  </a:ext>
                </a:extLst>
              </xdr:cNvPr>
              <xdr:cNvSpPr/>
            </xdr:nvSpPr>
            <xdr:spPr bwMode="auto">
              <a:xfrm>
                <a:off x="370522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7" name="Option Button 351" hidden="1">
                <a:extLst>
                  <a:ext uri="{63B3BB69-23CF-44E3-9099-C40C66FF867C}">
                    <a14:compatExt spid="_x0000_s40287"/>
                  </a:ext>
                  <a:ext uri="{FF2B5EF4-FFF2-40B4-BE49-F238E27FC236}">
                    <a16:creationId xmlns:a16="http://schemas.microsoft.com/office/drawing/2014/main" id="{00000000-0008-0000-1100-00005F9D0000}"/>
                  </a:ext>
                </a:extLst>
              </xdr:cNvPr>
              <xdr:cNvSpPr/>
            </xdr:nvSpPr>
            <xdr:spPr bwMode="auto">
              <a:xfrm>
                <a:off x="414337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8" name="Option Button 352" hidden="1">
                <a:extLst>
                  <a:ext uri="{63B3BB69-23CF-44E3-9099-C40C66FF867C}">
                    <a14:compatExt spid="_x0000_s40288"/>
                  </a:ext>
                  <a:ext uri="{FF2B5EF4-FFF2-40B4-BE49-F238E27FC236}">
                    <a16:creationId xmlns:a16="http://schemas.microsoft.com/office/drawing/2014/main" id="{00000000-0008-0000-1100-0000609D0000}"/>
                  </a:ext>
                </a:extLst>
              </xdr:cNvPr>
              <xdr:cNvSpPr/>
            </xdr:nvSpPr>
            <xdr:spPr bwMode="auto">
              <a:xfrm>
                <a:off x="45815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9" name="Option Button 353" hidden="1">
                <a:extLst>
                  <a:ext uri="{63B3BB69-23CF-44E3-9099-C40C66FF867C}">
                    <a14:compatExt spid="_x0000_s40289"/>
                  </a:ext>
                  <a:ext uri="{FF2B5EF4-FFF2-40B4-BE49-F238E27FC236}">
                    <a16:creationId xmlns:a16="http://schemas.microsoft.com/office/drawing/2014/main" id="{00000000-0008-0000-1100-0000619D0000}"/>
                  </a:ext>
                </a:extLst>
              </xdr:cNvPr>
              <xdr:cNvSpPr/>
            </xdr:nvSpPr>
            <xdr:spPr bwMode="auto">
              <a:xfrm>
                <a:off x="5019675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90" name="Option Button 354" hidden="1">
                <a:extLst>
                  <a:ext uri="{63B3BB69-23CF-44E3-9099-C40C66FF867C}">
                    <a14:compatExt spid="_x0000_s40290"/>
                  </a:ext>
                  <a:ext uri="{FF2B5EF4-FFF2-40B4-BE49-F238E27FC236}">
                    <a16:creationId xmlns:a16="http://schemas.microsoft.com/office/drawing/2014/main" id="{00000000-0008-0000-1100-0000629D0000}"/>
                  </a:ext>
                </a:extLst>
              </xdr:cNvPr>
              <xdr:cNvSpPr/>
            </xdr:nvSpPr>
            <xdr:spPr bwMode="auto">
              <a:xfrm>
                <a:off x="5457826" y="2152640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68</xdr:row>
      <xdr:rowOff>66674</xdr:rowOff>
    </xdr:from>
    <xdr:to>
      <xdr:col>21</xdr:col>
      <xdr:colOff>133349</xdr:colOff>
      <xdr:row>73</xdr:row>
      <xdr:rowOff>219074</xdr:rowOff>
    </xdr:to>
    <xdr:graphicFrame macro="">
      <xdr:nvGraphicFramePr>
        <xdr:cNvPr id="511" name="Diagramm 510">
          <a:extLst>
            <a:ext uri="{FF2B5EF4-FFF2-40B4-BE49-F238E27FC236}">
              <a16:creationId xmlns:a16="http://schemas.microsoft.com/office/drawing/2014/main" id="{00000000-0008-0000-1100-0000FF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19050</xdr:colOff>
      <xdr:row>1</xdr:row>
      <xdr:rowOff>123825</xdr:rowOff>
    </xdr:from>
    <xdr:to>
      <xdr:col>4</xdr:col>
      <xdr:colOff>2419350</xdr:colOff>
      <xdr:row>6</xdr:row>
      <xdr:rowOff>57150</xdr:rowOff>
    </xdr:to>
    <xdr:graphicFrame macro="">
      <xdr:nvGraphicFramePr>
        <xdr:cNvPr id="512" name="Diagramm 511">
          <a:extLst>
            <a:ext uri="{FF2B5EF4-FFF2-40B4-BE49-F238E27FC236}">
              <a16:creationId xmlns:a16="http://schemas.microsoft.com/office/drawing/2014/main" id="{00000000-0008-0000-1100-0000000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1722120</xdr:colOff>
          <xdr:row>1</xdr:row>
          <xdr:rowOff>60960</xdr:rowOff>
        </xdr:from>
        <xdr:to>
          <xdr:col>20</xdr:col>
          <xdr:colOff>2590800</xdr:colOff>
          <xdr:row>1</xdr:row>
          <xdr:rowOff>228600</xdr:rowOff>
        </xdr:to>
        <xdr:sp macro="" textlink="">
          <xdr:nvSpPr>
            <xdr:cNvPr id="40291" name="Drop Down 355" hidden="1">
              <a:extLst>
                <a:ext uri="{63B3BB69-23CF-44E3-9099-C40C66FF867C}">
                  <a14:compatExt spid="_x0000_s40291"/>
                </a:ext>
                <a:ext uri="{FF2B5EF4-FFF2-40B4-BE49-F238E27FC236}">
                  <a16:creationId xmlns:a16="http://schemas.microsoft.com/office/drawing/2014/main" id="{00000000-0008-0000-1100-0000639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390525</xdr:colOff>
          <xdr:row>0</xdr:row>
          <xdr:rowOff>19050</xdr:rowOff>
        </xdr:from>
        <xdr:to>
          <xdr:col>20</xdr:col>
          <xdr:colOff>2598420</xdr:colOff>
          <xdr:row>0</xdr:row>
          <xdr:rowOff>552450</xdr:rowOff>
        </xdr:to>
        <xdr:pic>
          <xdr:nvPicPr>
            <xdr:cNvPr id="514" name="Grafik 59">
              <a:extLst>
                <a:ext uri="{FF2B5EF4-FFF2-40B4-BE49-F238E27FC236}">
                  <a16:creationId xmlns:a16="http://schemas.microsoft.com/office/drawing/2014/main" id="{00000000-0008-0000-1100-00000202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40312"/>
                </a:ext>
              </a:extLst>
            </xdr:cNvPicPr>
          </xdr:nvPicPr>
          <xdr:blipFill>
            <a:blip xmlns:r="http://schemas.openxmlformats.org/officeDocument/2006/relationships" r:embed="rId26"/>
            <a:srcRect/>
            <a:stretch>
              <a:fillRect/>
            </a:stretch>
          </xdr:blipFill>
          <xdr:spPr bwMode="auto">
            <a:xfrm>
              <a:off x="738187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25</xdr:row>
      <xdr:rowOff>28575</xdr:rowOff>
    </xdr:from>
    <xdr:to>
      <xdr:col>6</xdr:col>
      <xdr:colOff>419100</xdr:colOff>
      <xdr:row>54</xdr:row>
      <xdr:rowOff>76200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308610</xdr:colOff>
      <xdr:row>1</xdr:row>
      <xdr:rowOff>57150</xdr:rowOff>
    </xdr:from>
    <xdr:to>
      <xdr:col>6</xdr:col>
      <xdr:colOff>481410</xdr:colOff>
      <xdr:row>2</xdr:row>
      <xdr:rowOff>48975</xdr:rowOff>
    </xdr:to>
    <xdr:grpSp>
      <xdr:nvGrpSpPr>
        <xdr:cNvPr id="3" name="Gruppier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pSpPr/>
      </xdr:nvGrpSpPr>
      <xdr:grpSpPr>
        <a:xfrm>
          <a:off x="8332470" y="628650"/>
          <a:ext cx="172800" cy="167085"/>
          <a:chOff x="8105775" y="571500"/>
          <a:chExt cx="172800" cy="172800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1200-00000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3</xdr:row>
      <xdr:rowOff>0</xdr:rowOff>
    </xdr:from>
    <xdr:to>
      <xdr:col>0</xdr:col>
      <xdr:colOff>400200</xdr:colOff>
      <xdr:row>3</xdr:row>
      <xdr:rowOff>325465</xdr:rowOff>
    </xdr:to>
    <xdr:grpSp>
      <xdr:nvGrpSpPr>
        <xdr:cNvPr id="9" name="Gruppieren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GrpSpPr/>
      </xdr:nvGrpSpPr>
      <xdr:grpSpPr>
        <a:xfrm>
          <a:off x="76200" y="876300"/>
          <a:ext cx="324000" cy="325465"/>
          <a:chOff x="12382500" y="2152650"/>
          <a:chExt cx="324000" cy="325465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1200-00000A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1" name="Grafik 10">
            <a:extLst>
              <a:ext uri="{FF2B5EF4-FFF2-40B4-BE49-F238E27FC236}">
                <a16:creationId xmlns:a16="http://schemas.microsoft.com/office/drawing/2014/main" id="{00000000-0008-0000-12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52</xdr:row>
      <xdr:rowOff>114300</xdr:rowOff>
    </xdr:from>
    <xdr:to>
      <xdr:col>0</xdr:col>
      <xdr:colOff>400200</xdr:colOff>
      <xdr:row>54</xdr:row>
      <xdr:rowOff>58765</xdr:rowOff>
    </xdr:to>
    <xdr:grpSp>
      <xdr:nvGrpSpPr>
        <xdr:cNvPr id="12" name="Gruppieren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GrpSpPr/>
      </xdr:nvGrpSpPr>
      <xdr:grpSpPr>
        <a:xfrm>
          <a:off x="76200" y="12473940"/>
          <a:ext cx="324000" cy="310225"/>
          <a:chOff x="66675" y="4972050"/>
          <a:chExt cx="324000" cy="325465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1200-00000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Pfeil nach oben 13">
            <a:extLst>
              <a:ext uri="{FF2B5EF4-FFF2-40B4-BE49-F238E27FC236}">
                <a16:creationId xmlns:a16="http://schemas.microsoft.com/office/drawing/2014/main" id="{00000000-0008-0000-1200-00000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5" name="Gruppieren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16" name="Rechteck 15">
            <a:extLst>
              <a:ext uri="{FF2B5EF4-FFF2-40B4-BE49-F238E27FC236}">
                <a16:creationId xmlns:a16="http://schemas.microsoft.com/office/drawing/2014/main" id="{00000000-0008-0000-1200-000010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7" name="Grafik 16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200-00001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2466975</xdr:colOff>
          <xdr:row>0</xdr:row>
          <xdr:rowOff>19050</xdr:rowOff>
        </xdr:from>
        <xdr:to>
          <xdr:col>6</xdr:col>
          <xdr:colOff>407670</xdr:colOff>
          <xdr:row>0</xdr:row>
          <xdr:rowOff>552450</xdr:rowOff>
        </xdr:to>
        <xdr:pic>
          <xdr:nvPicPr>
            <xdr:cNvPr id="18" name="Grafik 59">
              <a:extLst>
                <a:ext uri="{FF2B5EF4-FFF2-40B4-BE49-F238E27FC236}">
                  <a16:creationId xmlns:a16="http://schemas.microsoft.com/office/drawing/2014/main" id="{00000000-0008-0000-1200-00001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34165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6000750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114300</xdr:rowOff>
    </xdr:from>
    <xdr:to>
      <xdr:col>1</xdr:col>
      <xdr:colOff>150</xdr:colOff>
      <xdr:row>0</xdr:row>
      <xdr:rowOff>439765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pSpPr/>
      </xdr:nvGrpSpPr>
      <xdr:grpSpPr>
        <a:xfrm>
          <a:off x="76200" y="114300"/>
          <a:ext cx="335430" cy="32546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13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3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84</xdr:row>
      <xdr:rowOff>285750</xdr:rowOff>
    </xdr:from>
    <xdr:to>
      <xdr:col>0</xdr:col>
      <xdr:colOff>381150</xdr:colOff>
      <xdr:row>86</xdr:row>
      <xdr:rowOff>1656</xdr:rowOff>
    </xdr:to>
    <xdr:grpSp>
      <xdr:nvGrpSpPr>
        <xdr:cNvPr id="5" name="Gruppieren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GrpSpPr/>
      </xdr:nvGrpSpPr>
      <xdr:grpSpPr>
        <a:xfrm>
          <a:off x="57150" y="16904970"/>
          <a:ext cx="324000" cy="203586"/>
          <a:chOff x="66675" y="4972050"/>
          <a:chExt cx="324000" cy="325465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oben 6">
            <a:extLst>
              <a:ext uri="{FF2B5EF4-FFF2-40B4-BE49-F238E27FC236}">
                <a16:creationId xmlns:a16="http://schemas.microsoft.com/office/drawing/2014/main" id="{00000000-0008-0000-1300-00000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22</xdr:col>
      <xdr:colOff>133350</xdr:colOff>
      <xdr:row>2</xdr:row>
      <xdr:rowOff>47625</xdr:rowOff>
    </xdr:from>
    <xdr:to>
      <xdr:col>23</xdr:col>
      <xdr:colOff>1350</xdr:colOff>
      <xdr:row>2</xdr:row>
      <xdr:rowOff>220425</xdr:rowOff>
    </xdr:to>
    <xdr:grpSp>
      <xdr:nvGrpSpPr>
        <xdr:cNvPr id="8" name="Gruppieren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GrpSpPr/>
      </xdr:nvGrpSpPr>
      <xdr:grpSpPr>
        <a:xfrm>
          <a:off x="14222730" y="626745"/>
          <a:ext cx="180420" cy="172800"/>
          <a:chOff x="8105775" y="571500"/>
          <a:chExt cx="172800" cy="172800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300-000009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Textfeld 9">
            <a:extLst>
              <a:ext uri="{FF2B5EF4-FFF2-40B4-BE49-F238E27FC236}">
                <a16:creationId xmlns:a16="http://schemas.microsoft.com/office/drawing/2014/main" id="{00000000-0008-0000-1300-00000A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>
    <xdr:from>
      <xdr:col>0</xdr:col>
      <xdr:colOff>76200</xdr:colOff>
      <xdr:row>6</xdr:row>
      <xdr:rowOff>47624</xdr:rowOff>
    </xdr:from>
    <xdr:to>
      <xdr:col>0</xdr:col>
      <xdr:colOff>256200</xdr:colOff>
      <xdr:row>7</xdr:row>
      <xdr:rowOff>27599</xdr:rowOff>
    </xdr:to>
    <xdr:grpSp>
      <xdr:nvGrpSpPr>
        <xdr:cNvPr id="11" name="Gruppieren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GrpSpPr>
          <a:grpSpLocks noChangeAspect="1"/>
        </xdr:cNvGrpSpPr>
      </xdr:nvGrpSpPr>
      <xdr:grpSpPr>
        <a:xfrm>
          <a:off x="76200" y="1304924"/>
          <a:ext cx="180000" cy="178095"/>
          <a:chOff x="12020550" y="21717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300-00000C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rechts 12">
            <a:extLst>
              <a:ext uri="{FF2B5EF4-FFF2-40B4-BE49-F238E27FC236}">
                <a16:creationId xmlns:a16="http://schemas.microsoft.com/office/drawing/2014/main" id="{00000000-0008-0000-1300-00000D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2066925</xdr:colOff>
          <xdr:row>0</xdr:row>
          <xdr:rowOff>19050</xdr:rowOff>
        </xdr:from>
        <xdr:to>
          <xdr:col>22</xdr:col>
          <xdr:colOff>293370</xdr:colOff>
          <xdr:row>0</xdr:row>
          <xdr:rowOff>552450</xdr:rowOff>
        </xdr:to>
        <xdr:pic>
          <xdr:nvPicPr>
            <xdr:cNvPr id="14" name="Grafik 59">
              <a:extLst>
                <a:ext uri="{FF2B5EF4-FFF2-40B4-BE49-F238E27FC236}">
                  <a16:creationId xmlns:a16="http://schemas.microsoft.com/office/drawing/2014/main" id="{00000000-0008-0000-13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35189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1178242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3</xdr:row>
      <xdr:rowOff>9525</xdr:rowOff>
    </xdr:from>
    <xdr:to>
      <xdr:col>0</xdr:col>
      <xdr:colOff>390675</xdr:colOff>
      <xdr:row>3</xdr:row>
      <xdr:rowOff>334990</xdr:rowOff>
    </xdr:to>
    <xdr:grpSp>
      <xdr:nvGrpSpPr>
        <xdr:cNvPr id="3" name="Gruppier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pSpPr/>
      </xdr:nvGrpSpPr>
      <xdr:grpSpPr>
        <a:xfrm>
          <a:off x="66675" y="885825"/>
          <a:ext cx="324000" cy="325465"/>
          <a:chOff x="12382500" y="2152650"/>
          <a:chExt cx="324000" cy="325465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1400-000004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5" name="Grafik 4">
            <a:extLst>
              <a:ext uri="{FF2B5EF4-FFF2-40B4-BE49-F238E27FC236}">
                <a16:creationId xmlns:a16="http://schemas.microsoft.com/office/drawing/2014/main" id="{00000000-0008-0000-14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66675</xdr:colOff>
      <xdr:row>0</xdr:row>
      <xdr:rowOff>114300</xdr:rowOff>
    </xdr:from>
    <xdr:to>
      <xdr:col>0</xdr:col>
      <xdr:colOff>390675</xdr:colOff>
      <xdr:row>0</xdr:row>
      <xdr:rowOff>439765</xdr:rowOff>
    </xdr:to>
    <xdr:grpSp>
      <xdr:nvGrpSpPr>
        <xdr:cNvPr id="6" name="Gruppier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GrpSpPr/>
      </xdr:nvGrpSpPr>
      <xdr:grpSpPr>
        <a:xfrm>
          <a:off x="66675" y="114300"/>
          <a:ext cx="324000" cy="325465"/>
          <a:chOff x="12729063" y="1298331"/>
          <a:chExt cx="324000" cy="323267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1400-000007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8" name="Grafik 7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4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8</xdr:col>
      <xdr:colOff>285750</xdr:colOff>
      <xdr:row>1</xdr:row>
      <xdr:rowOff>57150</xdr:rowOff>
    </xdr:from>
    <xdr:to>
      <xdr:col>8</xdr:col>
      <xdr:colOff>458550</xdr:colOff>
      <xdr:row>2</xdr:row>
      <xdr:rowOff>48975</xdr:rowOff>
    </xdr:to>
    <xdr:grpSp>
      <xdr:nvGrpSpPr>
        <xdr:cNvPr id="9" name="Gruppieren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GrpSpPr/>
      </xdr:nvGrpSpPr>
      <xdr:grpSpPr>
        <a:xfrm>
          <a:off x="8682990" y="628650"/>
          <a:ext cx="172800" cy="167085"/>
          <a:chOff x="8105775" y="571500"/>
          <a:chExt cx="172800" cy="172800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1400-00000A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" name="Textfeld 10">
            <a:extLst>
              <a:ext uri="{FF2B5EF4-FFF2-40B4-BE49-F238E27FC236}">
                <a16:creationId xmlns:a16="http://schemas.microsoft.com/office/drawing/2014/main" id="{00000000-0008-0000-1400-00000B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2</xdr:col>
      <xdr:colOff>378283</xdr:colOff>
      <xdr:row>26</xdr:row>
      <xdr:rowOff>37657</xdr:rowOff>
    </xdr:from>
    <xdr:to>
      <xdr:col>4</xdr:col>
      <xdr:colOff>854307</xdr:colOff>
      <xdr:row>36</xdr:row>
      <xdr:rowOff>132157</xdr:rowOff>
    </xdr:to>
    <xdr:sp macro="" textlink="">
      <xdr:nvSpPr>
        <xdr:cNvPr id="12" name="Rechteck 11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SpPr>
          <a:spLocks noChangeAspect="1"/>
        </xdr:cNvSpPr>
      </xdr:nvSpPr>
      <xdr:spPr>
        <a:xfrm>
          <a:off x="1149808" y="7705282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378283</xdr:colOff>
      <xdr:row>36</xdr:row>
      <xdr:rowOff>179307</xdr:rowOff>
    </xdr:from>
    <xdr:to>
      <xdr:col>4</xdr:col>
      <xdr:colOff>854307</xdr:colOff>
      <xdr:row>46</xdr:row>
      <xdr:rowOff>273807</xdr:rowOff>
    </xdr:to>
    <xdr:sp macro="" textlink="">
      <xdr:nvSpPr>
        <xdr:cNvPr id="13" name="Rechteck 12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SpPr>
          <a:spLocks noChangeAspect="1"/>
        </xdr:cNvSpPr>
      </xdr:nvSpPr>
      <xdr:spPr>
        <a:xfrm>
          <a:off x="1149808" y="10704432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905988</xdr:colOff>
      <xdr:row>26</xdr:row>
      <xdr:rowOff>37657</xdr:rowOff>
    </xdr:from>
    <xdr:to>
      <xdr:col>7</xdr:col>
      <xdr:colOff>1219563</xdr:colOff>
      <xdr:row>36</xdr:row>
      <xdr:rowOff>132157</xdr:rowOff>
    </xdr:to>
    <xdr:sp macro="" textlink="">
      <xdr:nvSpPr>
        <xdr:cNvPr id="14" name="Rechteck 13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SpPr>
          <a:spLocks noChangeAspect="1"/>
        </xdr:cNvSpPr>
      </xdr:nvSpPr>
      <xdr:spPr>
        <a:xfrm>
          <a:off x="4154013" y="7705282"/>
          <a:ext cx="2952000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905988</xdr:colOff>
      <xdr:row>36</xdr:row>
      <xdr:rowOff>179307</xdr:rowOff>
    </xdr:from>
    <xdr:to>
      <xdr:col>7</xdr:col>
      <xdr:colOff>1219563</xdr:colOff>
      <xdr:row>46</xdr:row>
      <xdr:rowOff>273807</xdr:rowOff>
    </xdr:to>
    <xdr:sp macro="" textlink="">
      <xdr:nvSpPr>
        <xdr:cNvPr id="15" name="Rechteck 14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SpPr>
          <a:spLocks noChangeAspect="1"/>
        </xdr:cNvSpPr>
      </xdr:nvSpPr>
      <xdr:spPr>
        <a:xfrm>
          <a:off x="4154013" y="10704432"/>
          <a:ext cx="2952000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0</xdr:col>
      <xdr:colOff>438995</xdr:colOff>
      <xdr:row>26</xdr:row>
      <xdr:rowOff>19050</xdr:rowOff>
    </xdr:from>
    <xdr:to>
      <xdr:col>2</xdr:col>
      <xdr:colOff>10256</xdr:colOff>
      <xdr:row>47</xdr:row>
      <xdr:rowOff>47628</xdr:rowOff>
    </xdr:to>
    <xdr:sp macro="" textlink="' '!A36">
      <xdr:nvSpPr>
        <xdr:cNvPr id="16" name="Textfeld 15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SpPr txBox="1"/>
      </xdr:nvSpPr>
      <xdr:spPr>
        <a:xfrm rot="16200000">
          <a:off x="-2404276" y="10529946"/>
          <a:ext cx="602932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C23FC070-0D11-4732-9DDD-FDAEB56D9FB4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Bereitschaft zur Erneuerung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342900</xdr:colOff>
      <xdr:row>48</xdr:row>
      <xdr:rowOff>28178</xdr:rowOff>
    </xdr:from>
    <xdr:to>
      <xdr:col>7</xdr:col>
      <xdr:colOff>1247775</xdr:colOff>
      <xdr:row>50</xdr:row>
      <xdr:rowOff>75689</xdr:rowOff>
    </xdr:to>
    <xdr:sp macro="" textlink="' '!A37">
      <xdr:nvSpPr>
        <xdr:cNvPr id="17" name="Textfeld 16">
          <a:extLst>
            <a:ext uri="{FF2B5EF4-FFF2-40B4-BE49-F238E27FC236}">
              <a16:creationId xmlns:a16="http://schemas.microsoft.com/office/drawing/2014/main" id="{00000000-0008-0000-1400-000011000000}"/>
            </a:ext>
          </a:extLst>
        </xdr:cNvPr>
        <xdr:cNvSpPr txBox="1"/>
      </xdr:nvSpPr>
      <xdr:spPr>
        <a:xfrm>
          <a:off x="1114425" y="13982303"/>
          <a:ext cx="601980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865B586F-55A5-47E1-8933-3E5E201E84A5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Zufriedenheit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111494</xdr:colOff>
      <xdr:row>26</xdr:row>
      <xdr:rowOff>27774</xdr:rowOff>
    </xdr:from>
    <xdr:to>
      <xdr:col>2</xdr:col>
      <xdr:colOff>118190</xdr:colOff>
      <xdr:row>29</xdr:row>
      <xdr:rowOff>257174</xdr:rowOff>
    </xdr:to>
    <xdr:sp macro="" textlink="' '!A42">
      <xdr:nvSpPr>
        <xdr:cNvPr id="18" name="Textfeld 17">
          <a:extLst>
            <a:ext uri="{FF2B5EF4-FFF2-40B4-BE49-F238E27FC236}">
              <a16:creationId xmlns:a16="http://schemas.microsoft.com/office/drawing/2014/main" id="{00000000-0008-0000-1400-000012000000}"/>
            </a:ext>
          </a:extLst>
        </xdr:cNvPr>
        <xdr:cNvSpPr txBox="1"/>
      </xdr:nvSpPr>
      <xdr:spPr>
        <a:xfrm rot="16200000">
          <a:off x="190642" y="8082976"/>
          <a:ext cx="10866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indent="0" algn="ctr"/>
          <a:fld id="{734711BF-9BD8-4F4D-9247-C84B8F4B71BF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hoch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130542</xdr:colOff>
      <xdr:row>43</xdr:row>
      <xdr:rowOff>66675</xdr:rowOff>
    </xdr:from>
    <xdr:to>
      <xdr:col>2</xdr:col>
      <xdr:colOff>137238</xdr:colOff>
      <xdr:row>47</xdr:row>
      <xdr:rowOff>37884</xdr:rowOff>
    </xdr:to>
    <xdr:sp macro="" textlink="' '!A43">
      <xdr:nvSpPr>
        <xdr:cNvPr id="19" name="Textfeld 18">
          <a:extLst>
            <a:ext uri="{FF2B5EF4-FFF2-40B4-BE49-F238E27FC236}">
              <a16:creationId xmlns:a16="http://schemas.microsoft.com/office/drawing/2014/main" id="{00000000-0008-0000-1400-000013000000}"/>
            </a:ext>
          </a:extLst>
        </xdr:cNvPr>
        <xdr:cNvSpPr txBox="1"/>
      </xdr:nvSpPr>
      <xdr:spPr>
        <a:xfrm rot="16200000">
          <a:off x="195910" y="12993407"/>
          <a:ext cx="111420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indent="0" algn="ctr"/>
          <a:fld id="{7920A7EF-F7D7-42E2-B3AF-990C25630BFB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gering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133351</xdr:colOff>
      <xdr:row>47</xdr:row>
      <xdr:rowOff>225032</xdr:rowOff>
    </xdr:from>
    <xdr:to>
      <xdr:col>7</xdr:col>
      <xdr:colOff>1238251</xdr:colOff>
      <xdr:row>48</xdr:row>
      <xdr:rowOff>250778</xdr:rowOff>
    </xdr:to>
    <xdr:sp macro="" textlink="' '!A42">
      <xdr:nvSpPr>
        <xdr:cNvPr id="20" name="Textfeld 19">
          <a:extLst>
            <a:ext uri="{FF2B5EF4-FFF2-40B4-BE49-F238E27FC236}">
              <a16:creationId xmlns:a16="http://schemas.microsoft.com/office/drawing/2014/main" id="{00000000-0008-0000-1400-000014000000}"/>
            </a:ext>
          </a:extLst>
        </xdr:cNvPr>
        <xdr:cNvSpPr txBox="1"/>
      </xdr:nvSpPr>
      <xdr:spPr>
        <a:xfrm>
          <a:off x="6019801" y="13893407"/>
          <a:ext cx="11049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indent="0" algn="ctr"/>
          <a:fld id="{529E0DB3-5987-412E-B762-391890562B39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hoch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334984</xdr:colOff>
      <xdr:row>47</xdr:row>
      <xdr:rowOff>225032</xdr:rowOff>
    </xdr:from>
    <xdr:to>
      <xdr:col>2</xdr:col>
      <xdr:colOff>1428749</xdr:colOff>
      <xdr:row>48</xdr:row>
      <xdr:rowOff>250778</xdr:rowOff>
    </xdr:to>
    <xdr:sp macro="" textlink="' '!A43">
      <xdr:nvSpPr>
        <xdr:cNvPr id="21" name="Textfeld 20">
          <a:extLst>
            <a:ext uri="{FF2B5EF4-FFF2-40B4-BE49-F238E27FC236}">
              <a16:creationId xmlns:a16="http://schemas.microsoft.com/office/drawing/2014/main" id="{00000000-0008-0000-1400-000015000000}"/>
            </a:ext>
          </a:extLst>
        </xdr:cNvPr>
        <xdr:cNvSpPr txBox="1"/>
      </xdr:nvSpPr>
      <xdr:spPr>
        <a:xfrm>
          <a:off x="1106509" y="13893407"/>
          <a:ext cx="109376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indent="0" algn="ctr"/>
          <a:fld id="{C05130B6-5346-471C-BAD7-88A68E8569F0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gering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0</xdr:colOff>
      <xdr:row>26</xdr:row>
      <xdr:rowOff>85725</xdr:rowOff>
    </xdr:from>
    <xdr:to>
      <xdr:col>7</xdr:col>
      <xdr:colOff>1162051</xdr:colOff>
      <xdr:row>27</xdr:row>
      <xdr:rowOff>205407</xdr:rowOff>
    </xdr:to>
    <xdr:sp macro="" textlink="' '!A47">
      <xdr:nvSpPr>
        <xdr:cNvPr id="61" name="TextBox 124">
          <a:extLst>
            <a:ext uri="{FF2B5EF4-FFF2-40B4-BE49-F238E27FC236}">
              <a16:creationId xmlns:a16="http://schemas.microsoft.com/office/drawing/2014/main" id="{00000000-0008-0000-1400-00003D000000}"/>
            </a:ext>
          </a:extLst>
        </xdr:cNvPr>
        <xdr:cNvSpPr txBox="1"/>
      </xdr:nvSpPr>
      <xdr:spPr>
        <a:xfrm>
          <a:off x="4229100" y="7753350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319016D5-F0A1-438C-836D-1632261115F6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Zufriedenheit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66675</xdr:colOff>
      <xdr:row>23</xdr:row>
      <xdr:rowOff>0</xdr:rowOff>
    </xdr:from>
    <xdr:to>
      <xdr:col>0</xdr:col>
      <xdr:colOff>390675</xdr:colOff>
      <xdr:row>24</xdr:row>
      <xdr:rowOff>30190</xdr:rowOff>
    </xdr:to>
    <xdr:grpSp>
      <xdr:nvGrpSpPr>
        <xdr:cNvPr id="71" name="Gruppieren 7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400-000047000000}"/>
            </a:ext>
          </a:extLst>
        </xdr:cNvPr>
        <xdr:cNvGrpSpPr/>
      </xdr:nvGrpSpPr>
      <xdr:grpSpPr>
        <a:xfrm>
          <a:off x="66675" y="6949440"/>
          <a:ext cx="324000" cy="327370"/>
          <a:chOff x="66675" y="4972050"/>
          <a:chExt cx="324000" cy="325465"/>
        </a:xfrm>
      </xdr:grpSpPr>
      <xdr:sp macro="" textlink="">
        <xdr:nvSpPr>
          <xdr:cNvPr id="72" name="Rechteck 71">
            <a:extLst>
              <a:ext uri="{FF2B5EF4-FFF2-40B4-BE49-F238E27FC236}">
                <a16:creationId xmlns:a16="http://schemas.microsoft.com/office/drawing/2014/main" id="{00000000-0008-0000-1400-000048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3" name="Pfeil nach oben 72">
            <a:extLst>
              <a:ext uri="{FF2B5EF4-FFF2-40B4-BE49-F238E27FC236}">
                <a16:creationId xmlns:a16="http://schemas.microsoft.com/office/drawing/2014/main" id="{00000000-0008-0000-1400-000049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46</xdr:row>
      <xdr:rowOff>219075</xdr:rowOff>
    </xdr:from>
    <xdr:to>
      <xdr:col>0</xdr:col>
      <xdr:colOff>390675</xdr:colOff>
      <xdr:row>47</xdr:row>
      <xdr:rowOff>258790</xdr:rowOff>
    </xdr:to>
    <xdr:grpSp>
      <xdr:nvGrpSpPr>
        <xdr:cNvPr id="74" name="Gruppieren 7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400-00004A000000}"/>
            </a:ext>
          </a:extLst>
        </xdr:cNvPr>
        <xdr:cNvGrpSpPr/>
      </xdr:nvGrpSpPr>
      <xdr:grpSpPr>
        <a:xfrm>
          <a:off x="66675" y="13576935"/>
          <a:ext cx="324000" cy="321655"/>
          <a:chOff x="66675" y="4972050"/>
          <a:chExt cx="324000" cy="325465"/>
        </a:xfrm>
      </xdr:grpSpPr>
      <xdr:sp macro="" textlink="">
        <xdr:nvSpPr>
          <xdr:cNvPr id="75" name="Rechteck 74">
            <a:extLst>
              <a:ext uri="{FF2B5EF4-FFF2-40B4-BE49-F238E27FC236}">
                <a16:creationId xmlns:a16="http://schemas.microsoft.com/office/drawing/2014/main" id="{00000000-0008-0000-1400-00004B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6" name="Pfeil nach oben 75">
            <a:extLst>
              <a:ext uri="{FF2B5EF4-FFF2-40B4-BE49-F238E27FC236}">
                <a16:creationId xmlns:a16="http://schemas.microsoft.com/office/drawing/2014/main" id="{00000000-0008-0000-1400-00004C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2</xdr:col>
      <xdr:colOff>447674</xdr:colOff>
      <xdr:row>26</xdr:row>
      <xdr:rowOff>85725</xdr:rowOff>
    </xdr:from>
    <xdr:to>
      <xdr:col>4</xdr:col>
      <xdr:colOff>790575</xdr:colOff>
      <xdr:row>27</xdr:row>
      <xdr:rowOff>205407</xdr:rowOff>
    </xdr:to>
    <xdr:sp macro="" textlink="' '!A44">
      <xdr:nvSpPr>
        <xdr:cNvPr id="83" name="TextBox 2">
          <a:extLst>
            <a:ext uri="{FF2B5EF4-FFF2-40B4-BE49-F238E27FC236}">
              <a16:creationId xmlns:a16="http://schemas.microsoft.com/office/drawing/2014/main" id="{00000000-0008-0000-1400-000053000000}"/>
            </a:ext>
          </a:extLst>
        </xdr:cNvPr>
        <xdr:cNvSpPr txBox="1"/>
      </xdr:nvSpPr>
      <xdr:spPr>
        <a:xfrm>
          <a:off x="1219199" y="7753350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B50D6AC4-4C7A-4E1B-8D5A-19847F3B12D0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Erneuerung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457199</xdr:colOff>
      <xdr:row>45</xdr:row>
      <xdr:rowOff>114300</xdr:rowOff>
    </xdr:from>
    <xdr:to>
      <xdr:col>4</xdr:col>
      <xdr:colOff>800100</xdr:colOff>
      <xdr:row>46</xdr:row>
      <xdr:rowOff>233982</xdr:rowOff>
    </xdr:to>
    <xdr:sp macro="" textlink="' '!A45">
      <xdr:nvSpPr>
        <xdr:cNvPr id="84" name="TextBox 122">
          <a:extLst>
            <a:ext uri="{FF2B5EF4-FFF2-40B4-BE49-F238E27FC236}">
              <a16:creationId xmlns:a16="http://schemas.microsoft.com/office/drawing/2014/main" id="{00000000-0008-0000-1400-000054000000}"/>
            </a:ext>
          </a:extLst>
        </xdr:cNvPr>
        <xdr:cNvSpPr txBox="1"/>
      </xdr:nvSpPr>
      <xdr:spPr>
        <a:xfrm>
          <a:off x="1228724" y="132111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9C0A9832-C1C8-4B32-AE5E-4411BDB0712E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Verwirrung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981074</xdr:colOff>
      <xdr:row>45</xdr:row>
      <xdr:rowOff>114300</xdr:rowOff>
    </xdr:from>
    <xdr:to>
      <xdr:col>7</xdr:col>
      <xdr:colOff>1162050</xdr:colOff>
      <xdr:row>46</xdr:row>
      <xdr:rowOff>233982</xdr:rowOff>
    </xdr:to>
    <xdr:sp macro="" textlink="' '!A46">
      <xdr:nvSpPr>
        <xdr:cNvPr id="85" name="TextBox 123">
          <a:extLst>
            <a:ext uri="{FF2B5EF4-FFF2-40B4-BE49-F238E27FC236}">
              <a16:creationId xmlns:a16="http://schemas.microsoft.com/office/drawing/2014/main" id="{00000000-0008-0000-1400-000055000000}"/>
            </a:ext>
          </a:extLst>
        </xdr:cNvPr>
        <xdr:cNvSpPr txBox="1"/>
      </xdr:nvSpPr>
      <xdr:spPr>
        <a:xfrm>
          <a:off x="4229099" y="13211175"/>
          <a:ext cx="2819401" cy="40543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335B1658-D07B-41B0-ABAD-32E3EF20AAD9}" type="TxLink">
            <a:rPr lang="en-US" sz="2000">
              <a:solidFill>
                <a:schemeClr val="bg1">
                  <a:lumMod val="65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Verleugnung</a:t>
          </a:fld>
          <a:endParaRPr lang="fr-CH" sz="2000">
            <a:solidFill>
              <a:schemeClr val="bg1">
                <a:lumMod val="6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1104901</xdr:colOff>
      <xdr:row>28</xdr:row>
      <xdr:rowOff>190500</xdr:rowOff>
    </xdr:from>
    <xdr:to>
      <xdr:col>4</xdr:col>
      <xdr:colOff>10161</xdr:colOff>
      <xdr:row>33</xdr:row>
      <xdr:rowOff>219075</xdr:rowOff>
    </xdr:to>
    <xdr:pic>
      <xdr:nvPicPr>
        <xdr:cNvPr id="86" name="Grafik 85" descr="http://herweijer.files.wordpress.com/2010/03/4rooms-bmp.jpg">
          <a:extLst>
            <a:ext uri="{FF2B5EF4-FFF2-40B4-BE49-F238E27FC236}">
              <a16:creationId xmlns:a16="http://schemas.microsoft.com/office/drawing/2014/main" id="{00000000-0008-0000-1400-00005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346" t="8651" r="24528" b="62151"/>
        <a:stretch/>
      </xdr:blipFill>
      <xdr:spPr bwMode="auto">
        <a:xfrm>
          <a:off x="1876426" y="8429625"/>
          <a:ext cx="1381760" cy="1457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600074</xdr:colOff>
      <xdr:row>29</xdr:row>
      <xdr:rowOff>0</xdr:rowOff>
    </xdr:from>
    <xdr:to>
      <xdr:col>7</xdr:col>
      <xdr:colOff>737387</xdr:colOff>
      <xdr:row>33</xdr:row>
      <xdr:rowOff>200025</xdr:rowOff>
    </xdr:to>
    <xdr:pic>
      <xdr:nvPicPr>
        <xdr:cNvPr id="87" name="Grafik 86" descr="http://herweijer.files.wordpress.com/2010/03/4rooms-bmp.jpg">
          <a:extLst>
            <a:ext uri="{FF2B5EF4-FFF2-40B4-BE49-F238E27FC236}">
              <a16:creationId xmlns:a16="http://schemas.microsoft.com/office/drawing/2014/main" id="{00000000-0008-0000-1400-00005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396" t="16437" r="57862" b="59123"/>
        <a:stretch/>
      </xdr:blipFill>
      <xdr:spPr bwMode="auto">
        <a:xfrm>
          <a:off x="4829174" y="8524875"/>
          <a:ext cx="1794663" cy="134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514350</xdr:colOff>
      <xdr:row>39</xdr:row>
      <xdr:rowOff>95250</xdr:rowOff>
    </xdr:from>
    <xdr:to>
      <xdr:col>7</xdr:col>
      <xdr:colOff>577793</xdr:colOff>
      <xdr:row>43</xdr:row>
      <xdr:rowOff>228600</xdr:rowOff>
    </xdr:to>
    <xdr:pic>
      <xdr:nvPicPr>
        <xdr:cNvPr id="88" name="Grafik 87" descr="http://herweijer.files.wordpress.com/2010/03/4rooms-bmp.jpg">
          <a:extLst>
            <a:ext uri="{FF2B5EF4-FFF2-40B4-BE49-F238E27FC236}">
              <a16:creationId xmlns:a16="http://schemas.microsoft.com/office/drawing/2014/main" id="{00000000-0008-0000-1400-00005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868" t="52555" r="57390" b="23222"/>
        <a:stretch/>
      </xdr:blipFill>
      <xdr:spPr bwMode="auto">
        <a:xfrm>
          <a:off x="4743450" y="11477625"/>
          <a:ext cx="1720793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914400</xdr:colOff>
      <xdr:row>39</xdr:row>
      <xdr:rowOff>123824</xdr:rowOff>
    </xdr:from>
    <xdr:to>
      <xdr:col>4</xdr:col>
      <xdr:colOff>221900</xdr:colOff>
      <xdr:row>44</xdr:row>
      <xdr:rowOff>19049</xdr:rowOff>
    </xdr:to>
    <xdr:pic>
      <xdr:nvPicPr>
        <xdr:cNvPr id="89" name="Grafik 88" descr="http://herweijer.files.wordpress.com/2010/03/4rooms-bmp.jpg">
          <a:extLst>
            <a:ext uri="{FF2B5EF4-FFF2-40B4-BE49-F238E27FC236}">
              <a16:creationId xmlns:a16="http://schemas.microsoft.com/office/drawing/2014/main" id="{00000000-0008-0000-1400-00005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887" t="51041" r="23113" b="23438"/>
        <a:stretch/>
      </xdr:blipFill>
      <xdr:spPr bwMode="auto">
        <a:xfrm>
          <a:off x="1685925" y="11506199"/>
          <a:ext cx="1784000" cy="132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85725</xdr:colOff>
      <xdr:row>50</xdr:row>
      <xdr:rowOff>9525</xdr:rowOff>
    </xdr:from>
    <xdr:to>
      <xdr:col>2</xdr:col>
      <xdr:colOff>1685925</xdr:colOff>
      <xdr:row>50</xdr:row>
      <xdr:rowOff>205091</xdr:rowOff>
    </xdr:to>
    <xdr:sp macro="" textlink="">
      <xdr:nvSpPr>
        <xdr:cNvPr id="36" name="Textfeld 64">
          <a:extLst>
            <a:ext uri="{FF2B5EF4-FFF2-40B4-BE49-F238E27FC236}">
              <a16:creationId xmlns:a16="http://schemas.microsoft.com/office/drawing/2014/main" id="{00000000-0008-0000-1400-000024000000}"/>
            </a:ext>
          </a:extLst>
        </xdr:cNvPr>
        <xdr:cNvSpPr txBox="1">
          <a:spLocks noChangeArrowheads="1"/>
        </xdr:cNvSpPr>
      </xdr:nvSpPr>
      <xdr:spPr bwMode="auto">
        <a:xfrm>
          <a:off x="857250" y="14268450"/>
          <a:ext cx="1600200" cy="1955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r>
            <a:rPr lang="de-CH" sz="700" b="0">
              <a:solidFill>
                <a:schemeClr val="tx1">
                  <a:lumMod val="50000"/>
                  <a:lumOff val="50000"/>
                </a:schemeClr>
              </a:solidFill>
            </a:rPr>
            <a:t>(Eugster</a:t>
          </a:r>
          <a:r>
            <a:rPr lang="de-CH" sz="700" b="0" baseline="0">
              <a:solidFill>
                <a:schemeClr val="tx1">
                  <a:lumMod val="50000"/>
                  <a:lumOff val="50000"/>
                </a:schemeClr>
              </a:solidFill>
            </a:rPr>
            <a:t> &amp;</a:t>
          </a:r>
          <a:r>
            <a:rPr lang="de-CH" sz="700" b="0">
              <a:solidFill>
                <a:schemeClr val="tx1">
                  <a:lumMod val="50000"/>
                  <a:lumOff val="50000"/>
                </a:schemeClr>
              </a:solidFill>
            </a:rPr>
            <a:t> Tuckman,1965)</a:t>
          </a:r>
        </a:p>
      </xdr:txBody>
    </xdr:sp>
    <xdr:clientData/>
  </xdr:twoCellAnchor>
  <xdr:twoCellAnchor editAs="oneCell">
    <xdr:from>
      <xdr:col>1</xdr:col>
      <xdr:colOff>136337</xdr:colOff>
      <xdr:row>25</xdr:row>
      <xdr:rowOff>190500</xdr:rowOff>
    </xdr:from>
    <xdr:to>
      <xdr:col>7</xdr:col>
      <xdr:colOff>1431553</xdr:colOff>
      <xdr:row>48</xdr:row>
      <xdr:rowOff>38100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552450</xdr:colOff>
          <xdr:row>0</xdr:row>
          <xdr:rowOff>19050</xdr:rowOff>
        </xdr:from>
        <xdr:to>
          <xdr:col>9</xdr:col>
          <xdr:colOff>7620</xdr:colOff>
          <xdr:row>0</xdr:row>
          <xdr:rowOff>552450</xdr:rowOff>
        </xdr:to>
        <xdr:pic>
          <xdr:nvPicPr>
            <xdr:cNvPr id="37" name="Grafik 59">
              <a:extLst>
                <a:ext uri="{FF2B5EF4-FFF2-40B4-BE49-F238E27FC236}">
                  <a16:creationId xmlns:a16="http://schemas.microsoft.com/office/drawing/2014/main" id="{00000000-0008-0000-1400-00002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91513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6438900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84</xdr:row>
      <xdr:rowOff>285750</xdr:rowOff>
    </xdr:from>
    <xdr:to>
      <xdr:col>0</xdr:col>
      <xdr:colOff>381150</xdr:colOff>
      <xdr:row>86</xdr:row>
      <xdr:rowOff>1656</xdr:rowOff>
    </xdr:to>
    <xdr:grpSp>
      <xdr:nvGrpSpPr>
        <xdr:cNvPr id="5" name="Gruppieren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GrpSpPr/>
      </xdr:nvGrpSpPr>
      <xdr:grpSpPr>
        <a:xfrm>
          <a:off x="57150" y="24250650"/>
          <a:ext cx="324000" cy="325506"/>
          <a:chOff x="66675" y="4972050"/>
          <a:chExt cx="324000" cy="325465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oben 6">
            <a:extLst>
              <a:ext uri="{FF2B5EF4-FFF2-40B4-BE49-F238E27FC236}">
                <a16:creationId xmlns:a16="http://schemas.microsoft.com/office/drawing/2014/main" id="{00000000-0008-0000-1500-00000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13</xdr:col>
      <xdr:colOff>133350</xdr:colOff>
      <xdr:row>2</xdr:row>
      <xdr:rowOff>47625</xdr:rowOff>
    </xdr:from>
    <xdr:to>
      <xdr:col>14</xdr:col>
      <xdr:colOff>1350</xdr:colOff>
      <xdr:row>2</xdr:row>
      <xdr:rowOff>220425</xdr:rowOff>
    </xdr:to>
    <xdr:grpSp>
      <xdr:nvGrpSpPr>
        <xdr:cNvPr id="8" name="Gruppieren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GrpSpPr/>
      </xdr:nvGrpSpPr>
      <xdr:grpSpPr>
        <a:xfrm>
          <a:off x="11083290" y="626745"/>
          <a:ext cx="180420" cy="172800"/>
          <a:chOff x="8105775" y="571500"/>
          <a:chExt cx="172800" cy="172800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500-000009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Textfeld 9">
            <a:extLst>
              <a:ext uri="{FF2B5EF4-FFF2-40B4-BE49-F238E27FC236}">
                <a16:creationId xmlns:a16="http://schemas.microsoft.com/office/drawing/2014/main" id="{00000000-0008-0000-1500-00000A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>
    <xdr:from>
      <xdr:col>0</xdr:col>
      <xdr:colOff>76200</xdr:colOff>
      <xdr:row>6</xdr:row>
      <xdr:rowOff>47624</xdr:rowOff>
    </xdr:from>
    <xdr:to>
      <xdr:col>0</xdr:col>
      <xdr:colOff>256200</xdr:colOff>
      <xdr:row>7</xdr:row>
      <xdr:rowOff>27599</xdr:rowOff>
    </xdr:to>
    <xdr:grpSp>
      <xdr:nvGrpSpPr>
        <xdr:cNvPr id="11" name="Gruppieren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GrpSpPr>
          <a:grpSpLocks noChangeAspect="1"/>
        </xdr:cNvGrpSpPr>
      </xdr:nvGrpSpPr>
      <xdr:grpSpPr>
        <a:xfrm>
          <a:off x="76200" y="1304924"/>
          <a:ext cx="180000" cy="178095"/>
          <a:chOff x="12020550" y="21717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500-00000C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rechts 12">
            <a:extLst>
              <a:ext uri="{FF2B5EF4-FFF2-40B4-BE49-F238E27FC236}">
                <a16:creationId xmlns:a16="http://schemas.microsoft.com/office/drawing/2014/main" id="{00000000-0008-0000-1500-00000D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 editAs="oneCell">
    <xdr:from>
      <xdr:col>0</xdr:col>
      <xdr:colOff>76200</xdr:colOff>
      <xdr:row>0</xdr:row>
      <xdr:rowOff>104775</xdr:rowOff>
    </xdr:from>
    <xdr:to>
      <xdr:col>1</xdr:col>
      <xdr:colOff>150</xdr:colOff>
      <xdr:row>0</xdr:row>
      <xdr:rowOff>430240</xdr:rowOff>
    </xdr:to>
    <xdr:grpSp>
      <xdr:nvGrpSpPr>
        <xdr:cNvPr id="17" name="Gruppieren 1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500-000011000000}"/>
            </a:ext>
          </a:extLst>
        </xdr:cNvPr>
        <xdr:cNvGrpSpPr/>
      </xdr:nvGrpSpPr>
      <xdr:grpSpPr>
        <a:xfrm>
          <a:off x="76200" y="104775"/>
          <a:ext cx="335430" cy="325465"/>
          <a:chOff x="12729063" y="1298331"/>
          <a:chExt cx="324000" cy="323267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1500-000012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9" name="Grafik 18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500-00001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0</xdr:row>
          <xdr:rowOff>19050</xdr:rowOff>
        </xdr:from>
        <xdr:to>
          <xdr:col>13</xdr:col>
          <xdr:colOff>302895</xdr:colOff>
          <xdr:row>0</xdr:row>
          <xdr:rowOff>552450</xdr:rowOff>
        </xdr:to>
        <xdr:pic>
          <xdr:nvPicPr>
            <xdr:cNvPr id="14" name="Grafik 59">
              <a:extLst>
                <a:ext uri="{FF2B5EF4-FFF2-40B4-BE49-F238E27FC236}">
                  <a16:creationId xmlns:a16="http://schemas.microsoft.com/office/drawing/2014/main" id="{00000000-0008-0000-15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92534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873442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718049</xdr:colOff>
      <xdr:row>19</xdr:row>
      <xdr:rowOff>158403</xdr:rowOff>
    </xdr:from>
    <xdr:to>
      <xdr:col>4</xdr:col>
      <xdr:colOff>332443</xdr:colOff>
      <xdr:row>32</xdr:row>
      <xdr:rowOff>218649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>
          <a:off x="1470524" y="5435253"/>
          <a:ext cx="2890994" cy="2536746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720078</xdr:colOff>
      <xdr:row>33</xdr:row>
      <xdr:rowOff>35386</xdr:rowOff>
    </xdr:from>
    <xdr:to>
      <xdr:col>4</xdr:col>
      <xdr:colOff>334472</xdr:colOff>
      <xdr:row>44</xdr:row>
      <xdr:rowOff>38482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1472553" y="8045911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376287</xdr:colOff>
      <xdr:row>19</xdr:row>
      <xdr:rowOff>158403</xdr:rowOff>
    </xdr:from>
    <xdr:to>
      <xdr:col>6</xdr:col>
      <xdr:colOff>228806</xdr:colOff>
      <xdr:row>32</xdr:row>
      <xdr:rowOff>218649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/>
      </xdr:nvSpPr>
      <xdr:spPr>
        <a:xfrm>
          <a:off x="4405362" y="5435253"/>
          <a:ext cx="2890994" cy="2536746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384672</xdr:colOff>
      <xdr:row>33</xdr:row>
      <xdr:rowOff>35386</xdr:rowOff>
    </xdr:from>
    <xdr:to>
      <xdr:col>6</xdr:col>
      <xdr:colOff>237191</xdr:colOff>
      <xdr:row>44</xdr:row>
      <xdr:rowOff>38482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/>
      </xdr:nvSpPr>
      <xdr:spPr>
        <a:xfrm>
          <a:off x="4413747" y="8045911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1</xdr:col>
      <xdr:colOff>276230</xdr:colOff>
      <xdr:row>19</xdr:row>
      <xdr:rowOff>142874</xdr:rowOff>
    </xdr:from>
    <xdr:to>
      <xdr:col>2</xdr:col>
      <xdr:colOff>333266</xdr:colOff>
      <xdr:row>44</xdr:row>
      <xdr:rowOff>95249</xdr:rowOff>
    </xdr:to>
    <xdr:sp macro="" textlink="' '!A454">
      <xdr:nvSpPr>
        <xdr:cNvPr id="6" name="Textfeld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 txBox="1"/>
      </xdr:nvSpPr>
      <xdr:spPr>
        <a:xfrm rot="16200000">
          <a:off x="-1728840" y="7977244"/>
          <a:ext cx="528637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94FE328B-8DE3-4791-B057-9B856675F84E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Schwer substituierbar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685800</xdr:colOff>
      <xdr:row>46</xdr:row>
      <xdr:rowOff>11079</xdr:rowOff>
    </xdr:from>
    <xdr:to>
      <xdr:col>6</xdr:col>
      <xdr:colOff>285750</xdr:colOff>
      <xdr:row>48</xdr:row>
      <xdr:rowOff>68743</xdr:rowOff>
    </xdr:to>
    <xdr:sp macro="" textlink="' '!A453">
      <xdr:nvSpPr>
        <xdr:cNvPr id="7" name="Textfeld 6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 txBox="1"/>
      </xdr:nvSpPr>
      <xdr:spPr>
        <a:xfrm>
          <a:off x="1438275" y="11088654"/>
          <a:ext cx="5915025" cy="4386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B230C822-ED18-48B3-941E-9F41D1ABF3DB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Mehrwert für Kunden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2</xdr:col>
      <xdr:colOff>191343</xdr:colOff>
      <xdr:row>19</xdr:row>
      <xdr:rowOff>133349</xdr:rowOff>
    </xdr:from>
    <xdr:ext cx="311496" cy="1057275"/>
    <xdr:sp macro="" textlink="' '!A460">
      <xdr:nvSpPr>
        <xdr:cNvPr id="8" name="Textfeld 7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SpPr txBox="1"/>
      </xdr:nvSpPr>
      <xdr:spPr>
        <a:xfrm rot="16200000">
          <a:off x="570928" y="5868814"/>
          <a:ext cx="105727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835E759C-FAE1-48CE-9439-8A9AA7D5370B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gross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191343</xdr:colOff>
      <xdr:row>39</xdr:row>
      <xdr:rowOff>228600</xdr:rowOff>
    </xdr:from>
    <xdr:ext cx="311496" cy="995211"/>
    <xdr:sp macro="" textlink="' '!A462">
      <xdr:nvSpPr>
        <xdr:cNvPr id="9" name="Textfeld 8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SpPr txBox="1"/>
      </xdr:nvSpPr>
      <xdr:spPr>
        <a:xfrm rot="16200000">
          <a:off x="601960" y="10076408"/>
          <a:ext cx="99521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BCCF89F3-3967-482F-8490-607E67B3D884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gering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5</xdr:col>
      <xdr:colOff>1323976</xdr:colOff>
      <xdr:row>45</xdr:row>
      <xdr:rowOff>99369</xdr:rowOff>
    </xdr:from>
    <xdr:ext cx="1162428" cy="311496"/>
    <xdr:sp macro="" textlink="' '!A459">
      <xdr:nvSpPr>
        <xdr:cNvPr id="10" name="Textfeld 9"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SpPr txBox="1"/>
      </xdr:nvSpPr>
      <xdr:spPr>
        <a:xfrm>
          <a:off x="6153151" y="10986444"/>
          <a:ext cx="116242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41E88C13-14F7-4DCE-84A3-13B3AC104AF9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hoch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695325</xdr:colOff>
      <xdr:row>45</xdr:row>
      <xdr:rowOff>99369</xdr:rowOff>
    </xdr:from>
    <xdr:ext cx="1162049" cy="311496"/>
    <xdr:sp macro="" textlink="' '!A463">
      <xdr:nvSpPr>
        <xdr:cNvPr id="11" name="Textfeld 10">
          <a:extLst>
            <a:ext uri="{FF2B5EF4-FFF2-40B4-BE49-F238E27FC236}">
              <a16:creationId xmlns:a16="http://schemas.microsoft.com/office/drawing/2014/main" id="{00000000-0008-0000-1600-00000B000000}"/>
            </a:ext>
          </a:extLst>
        </xdr:cNvPr>
        <xdr:cNvSpPr txBox="1"/>
      </xdr:nvSpPr>
      <xdr:spPr>
        <a:xfrm>
          <a:off x="1447800" y="10986444"/>
          <a:ext cx="116204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576983FF-8B96-4C40-ADD8-0E745271D983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klein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 editAs="oneCell">
    <xdr:from>
      <xdr:col>7</xdr:col>
      <xdr:colOff>295275</xdr:colOff>
      <xdr:row>1</xdr:row>
      <xdr:rowOff>57150</xdr:rowOff>
    </xdr:from>
    <xdr:to>
      <xdr:col>7</xdr:col>
      <xdr:colOff>468075</xdr:colOff>
      <xdr:row>2</xdr:row>
      <xdr:rowOff>58500</xdr:rowOff>
    </xdr:to>
    <xdr:grpSp>
      <xdr:nvGrpSpPr>
        <xdr:cNvPr id="12" name="Gruppieren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C000000}"/>
            </a:ext>
          </a:extLst>
        </xdr:cNvPr>
        <xdr:cNvGrpSpPr/>
      </xdr:nvGrpSpPr>
      <xdr:grpSpPr>
        <a:xfrm>
          <a:off x="9919335" y="628650"/>
          <a:ext cx="172800" cy="168990"/>
          <a:chOff x="8105775" y="571500"/>
          <a:chExt cx="172800" cy="172800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1600-00000D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Textfeld 13">
            <a:extLst>
              <a:ext uri="{FF2B5EF4-FFF2-40B4-BE49-F238E27FC236}">
                <a16:creationId xmlns:a16="http://schemas.microsoft.com/office/drawing/2014/main" id="{00000000-0008-0000-1600-00000E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0</xdr:row>
      <xdr:rowOff>114300</xdr:rowOff>
    </xdr:from>
    <xdr:to>
      <xdr:col>0</xdr:col>
      <xdr:colOff>381150</xdr:colOff>
      <xdr:row>0</xdr:row>
      <xdr:rowOff>439765</xdr:rowOff>
    </xdr:to>
    <xdr:grpSp>
      <xdr:nvGrpSpPr>
        <xdr:cNvPr id="15" name="Gruppieren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600-00000F000000}"/>
            </a:ext>
          </a:extLst>
        </xdr:cNvPr>
        <xdr:cNvGrpSpPr/>
      </xdr:nvGrpSpPr>
      <xdr:grpSpPr>
        <a:xfrm>
          <a:off x="57150" y="114300"/>
          <a:ext cx="324000" cy="325465"/>
          <a:chOff x="12729063" y="1298331"/>
          <a:chExt cx="324000" cy="323267"/>
        </a:xfrm>
      </xdr:grpSpPr>
      <xdr:sp macro="" textlink="">
        <xdr:nvSpPr>
          <xdr:cNvPr id="16" name="Rechteck 15">
            <a:extLst>
              <a:ext uri="{FF2B5EF4-FFF2-40B4-BE49-F238E27FC236}">
                <a16:creationId xmlns:a16="http://schemas.microsoft.com/office/drawing/2014/main" id="{00000000-0008-0000-1600-000010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7" name="Grafik 16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600-00001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57150</xdr:colOff>
      <xdr:row>47</xdr:row>
      <xdr:rowOff>19050</xdr:rowOff>
    </xdr:from>
    <xdr:to>
      <xdr:col>0</xdr:col>
      <xdr:colOff>381150</xdr:colOff>
      <xdr:row>48</xdr:row>
      <xdr:rowOff>154015</xdr:rowOff>
    </xdr:to>
    <xdr:grpSp>
      <xdr:nvGrpSpPr>
        <xdr:cNvPr id="18" name="Gruppieren 1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600-000012000000}"/>
            </a:ext>
          </a:extLst>
        </xdr:cNvPr>
        <xdr:cNvGrpSpPr/>
      </xdr:nvGrpSpPr>
      <xdr:grpSpPr>
        <a:xfrm>
          <a:off x="57150" y="11212830"/>
          <a:ext cx="324000" cy="317845"/>
          <a:chOff x="66675" y="4972050"/>
          <a:chExt cx="324000" cy="325465"/>
        </a:xfrm>
      </xdr:grpSpPr>
      <xdr:sp macro="" textlink="">
        <xdr:nvSpPr>
          <xdr:cNvPr id="19" name="Rechteck 18">
            <a:extLst>
              <a:ext uri="{FF2B5EF4-FFF2-40B4-BE49-F238E27FC236}">
                <a16:creationId xmlns:a16="http://schemas.microsoft.com/office/drawing/2014/main" id="{00000000-0008-0000-1600-00001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" name="Pfeil nach oben 19">
            <a:extLst>
              <a:ext uri="{FF2B5EF4-FFF2-40B4-BE49-F238E27FC236}">
                <a16:creationId xmlns:a16="http://schemas.microsoft.com/office/drawing/2014/main" id="{00000000-0008-0000-1600-00001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absolute">
    <xdr:from>
      <xdr:col>0</xdr:col>
      <xdr:colOff>57150</xdr:colOff>
      <xdr:row>3</xdr:row>
      <xdr:rowOff>152400</xdr:rowOff>
    </xdr:from>
    <xdr:to>
      <xdr:col>0</xdr:col>
      <xdr:colOff>381150</xdr:colOff>
      <xdr:row>4</xdr:row>
      <xdr:rowOff>285900</xdr:rowOff>
    </xdr:to>
    <xdr:grpSp>
      <xdr:nvGrpSpPr>
        <xdr:cNvPr id="21" name="Gruppieren 2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600-000015000000}"/>
            </a:ext>
          </a:extLst>
        </xdr:cNvPr>
        <xdr:cNvGrpSpPr>
          <a:grpSpLocks/>
        </xdr:cNvGrpSpPr>
      </xdr:nvGrpSpPr>
      <xdr:grpSpPr>
        <a:xfrm>
          <a:off x="57150" y="1028700"/>
          <a:ext cx="324000" cy="324000"/>
          <a:chOff x="12382500" y="2152650"/>
          <a:chExt cx="324000" cy="325465"/>
        </a:xfrm>
      </xdr:grpSpPr>
      <xdr:sp macro="" textlink="">
        <xdr:nvSpPr>
          <xdr:cNvPr id="22" name="Rechteck 21">
            <a:extLst>
              <a:ext uri="{FF2B5EF4-FFF2-40B4-BE49-F238E27FC236}">
                <a16:creationId xmlns:a16="http://schemas.microsoft.com/office/drawing/2014/main" id="{00000000-0008-0000-1600-000016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23" name="Grafik 22">
            <a:extLst>
              <a:ext uri="{FF2B5EF4-FFF2-40B4-BE49-F238E27FC236}">
                <a16:creationId xmlns:a16="http://schemas.microsoft.com/office/drawing/2014/main" id="{00000000-0008-0000-1600-00001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1</xdr:col>
      <xdr:colOff>123825</xdr:colOff>
      <xdr:row>19</xdr:row>
      <xdr:rowOff>9525</xdr:rowOff>
    </xdr:from>
    <xdr:to>
      <xdr:col>6</xdr:col>
      <xdr:colOff>542925</xdr:colOff>
      <xdr:row>46</xdr:row>
      <xdr:rowOff>33959</xdr:rowOff>
    </xdr:to>
    <xdr:graphicFrame macro="">
      <xdr:nvGraphicFramePr>
        <xdr:cNvPr id="24" name="Diagramm 23">
          <a:extLst>
            <a:ext uri="{FF2B5EF4-FFF2-40B4-BE49-F238E27FC236}">
              <a16:creationId xmlns:a16="http://schemas.microsoft.com/office/drawing/2014/main" id="{00000000-0008-0000-16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552450</xdr:colOff>
          <xdr:row>0</xdr:row>
          <xdr:rowOff>19050</xdr:rowOff>
        </xdr:from>
        <xdr:to>
          <xdr:col>7</xdr:col>
          <xdr:colOff>474345</xdr:colOff>
          <xdr:row>0</xdr:row>
          <xdr:rowOff>552450</xdr:rowOff>
        </xdr:to>
        <xdr:pic>
          <xdr:nvPicPr>
            <xdr:cNvPr id="25" name="Grafik 59">
              <a:extLst>
                <a:ext uri="{FF2B5EF4-FFF2-40B4-BE49-F238E27FC236}">
                  <a16:creationId xmlns:a16="http://schemas.microsoft.com/office/drawing/2014/main" id="{00000000-0008-0000-1600-00001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30423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7620000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1094281</xdr:colOff>
      <xdr:row>3</xdr:row>
      <xdr:rowOff>758210</xdr:rowOff>
    </xdr:from>
    <xdr:to>
      <xdr:col>6</xdr:col>
      <xdr:colOff>1099587</xdr:colOff>
      <xdr:row>3</xdr:row>
      <xdr:rowOff>1400672</xdr:rowOff>
    </xdr:to>
    <xdr:cxnSp macro="">
      <xdr:nvCxnSpPr>
        <xdr:cNvPr id="2" name="Gerade Verbindung mit Pfeil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CxnSpPr>
          <a:stCxn id="38" idx="2"/>
          <a:endCxn id="117" idx="0"/>
        </xdr:cNvCxnSpPr>
      </xdr:nvCxnSpPr>
      <xdr:spPr>
        <a:xfrm>
          <a:off x="6685456" y="1596410"/>
          <a:ext cx="5306" cy="642462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97813</xdr:colOff>
      <xdr:row>3</xdr:row>
      <xdr:rowOff>760692</xdr:rowOff>
    </xdr:from>
    <xdr:to>
      <xdr:col>3</xdr:col>
      <xdr:colOff>102421</xdr:colOff>
      <xdr:row>3</xdr:row>
      <xdr:rowOff>1438772</xdr:rowOff>
    </xdr:to>
    <xdr:cxnSp macro="">
      <xdr:nvCxnSpPr>
        <xdr:cNvPr id="3" name="Gerade Verbindung mit Pfeil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CxnSpPr>
          <a:stCxn id="17" idx="2"/>
          <a:endCxn id="21" idx="0"/>
        </xdr:cNvCxnSpPr>
      </xdr:nvCxnSpPr>
      <xdr:spPr>
        <a:xfrm>
          <a:off x="3498238" y="1598892"/>
          <a:ext cx="4608" cy="678080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781463</xdr:colOff>
      <xdr:row>4</xdr:row>
      <xdr:rowOff>954400</xdr:rowOff>
    </xdr:from>
    <xdr:ext cx="828000" cy="395004"/>
    <xdr:sp macro="" textlink="' '!A486" fLocksText="0">
      <xdr:nvSpPr>
        <xdr:cNvPr id="4" name="Flussdiagramm: Dokument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>
          <a:spLocks/>
        </xdr:cNvSpPr>
      </xdr:nvSpPr>
      <xdr:spPr>
        <a:xfrm>
          <a:off x="7525163" y="4354825"/>
          <a:ext cx="828000" cy="395004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1081227E-E1C6-4373-B188-6C5C0C4B3605}" type="TxLink">
            <a:rPr lang="en-US" sz="1050" baseline="0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Projekt_?.exe</a:t>
          </a:fld>
          <a:endParaRPr lang="de-CH" sz="1050" baseline="0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23</xdr:col>
      <xdr:colOff>333375</xdr:colOff>
      <xdr:row>3</xdr:row>
      <xdr:rowOff>9525</xdr:rowOff>
    </xdr:from>
    <xdr:to>
      <xdr:col>23</xdr:col>
      <xdr:colOff>333375</xdr:colOff>
      <xdr:row>6</xdr:row>
      <xdr:rowOff>1685925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CxnSpPr/>
      </xdr:nvCxnSpPr>
      <xdr:spPr>
        <a:xfrm>
          <a:off x="20335875" y="847725"/>
          <a:ext cx="0" cy="7620000"/>
        </a:xfrm>
        <a:prstGeom prst="line">
          <a:avLst/>
        </a:prstGeom>
        <a:ln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223611</xdr:colOff>
      <xdr:row>3</xdr:row>
      <xdr:rowOff>659125</xdr:rowOff>
    </xdr:from>
    <xdr:ext cx="1080000" cy="312425"/>
    <xdr:sp macro="" textlink="" fLocksText="0">
      <xdr:nvSpPr>
        <xdr:cNvPr id="6" name="Flussdiagramm: Dokument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>
          <a:spLocks/>
        </xdr:cNvSpPr>
      </xdr:nvSpPr>
      <xdr:spPr>
        <a:xfrm>
          <a:off x="12215586" y="1497325"/>
          <a:ext cx="1080000" cy="312425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de-CH" sz="1100" baseline="0">
              <a:solidFill>
                <a:schemeClr val="tx2"/>
              </a:solidFill>
              <a:latin typeface="+mn-lt"/>
              <a:ea typeface="+mn-ea"/>
              <a:cs typeface="+mn-cs"/>
            </a:rPr>
            <a:t>01_Cockpit.exe</a:t>
          </a:r>
        </a:p>
      </xdr:txBody>
    </xdr:sp>
    <xdr:clientData/>
  </xdr:oneCellAnchor>
  <xdr:oneCellAnchor>
    <xdr:from>
      <xdr:col>2</xdr:col>
      <xdr:colOff>2476500</xdr:colOff>
      <xdr:row>6</xdr:row>
      <xdr:rowOff>1581150</xdr:rowOff>
    </xdr:from>
    <xdr:ext cx="1080000" cy="313200"/>
    <xdr:sp macro="" textlink="" fLocksText="0">
      <xdr:nvSpPr>
        <xdr:cNvPr id="7" name="Flussdiagramm: Dokument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SpPr>
          <a:spLocks/>
        </xdr:cNvSpPr>
      </xdr:nvSpPr>
      <xdr:spPr>
        <a:xfrm>
          <a:off x="3362325" y="8362950"/>
          <a:ext cx="1080000" cy="313200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de-CH" sz="1100" baseline="0">
              <a:solidFill>
                <a:schemeClr val="tx2"/>
              </a:solidFill>
              <a:latin typeface="+mn-lt"/>
              <a:ea typeface="+mn-ea"/>
              <a:cs typeface="+mn-cs"/>
            </a:rPr>
            <a:t>07_Quality.exe</a:t>
          </a:r>
        </a:p>
      </xdr:txBody>
    </xdr:sp>
    <xdr:clientData/>
  </xdr:oneCellAnchor>
  <xdr:oneCellAnchor>
    <xdr:from>
      <xdr:col>4</xdr:col>
      <xdr:colOff>90261</xdr:colOff>
      <xdr:row>3</xdr:row>
      <xdr:rowOff>678175</xdr:rowOff>
    </xdr:from>
    <xdr:ext cx="1080000" cy="312425"/>
    <xdr:sp macro="" textlink="" fLocksText="0">
      <xdr:nvSpPr>
        <xdr:cNvPr id="8" name="Flussdiagramm: Dokument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SpPr>
          <a:spLocks/>
        </xdr:cNvSpPr>
      </xdr:nvSpPr>
      <xdr:spPr>
        <a:xfrm>
          <a:off x="4567011" y="1516375"/>
          <a:ext cx="1080000" cy="312425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de-CH" sz="1100" baseline="0">
              <a:solidFill>
                <a:schemeClr val="tx2"/>
              </a:solidFill>
              <a:latin typeface="+mn-lt"/>
              <a:ea typeface="+mn-ea"/>
              <a:cs typeface="+mn-cs"/>
            </a:rPr>
            <a:t>07_Quality.exe</a:t>
          </a:r>
        </a:p>
      </xdr:txBody>
    </xdr:sp>
    <xdr:clientData/>
  </xdr:oneCellAnchor>
  <xdr:oneCellAnchor>
    <xdr:from>
      <xdr:col>11</xdr:col>
      <xdr:colOff>610013</xdr:colOff>
      <xdr:row>3</xdr:row>
      <xdr:rowOff>1992625</xdr:rowOff>
    </xdr:from>
    <xdr:ext cx="828000" cy="395004"/>
    <xdr:sp macro="" textlink="" fLocksText="0">
      <xdr:nvSpPr>
        <xdr:cNvPr id="9" name="Flussdiagramm: Dokument 8"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SpPr>
          <a:spLocks/>
        </xdr:cNvSpPr>
      </xdr:nvSpPr>
      <xdr:spPr>
        <a:xfrm>
          <a:off x="11725688" y="2830825"/>
          <a:ext cx="828000" cy="395004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endParaRPr lang="en-US" sz="1100" b="0" i="0" u="none" strike="noStrike" baseline="0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11</xdr:col>
      <xdr:colOff>552863</xdr:colOff>
      <xdr:row>3</xdr:row>
      <xdr:rowOff>1925950</xdr:rowOff>
    </xdr:from>
    <xdr:ext cx="828000" cy="395004"/>
    <xdr:sp macro="" textlink="' '!A504" fLocksText="0">
      <xdr:nvSpPr>
        <xdr:cNvPr id="10" name="Flussdiagramm: Dokument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700-00000A000000}"/>
            </a:ext>
          </a:extLst>
        </xdr:cNvPr>
        <xdr:cNvSpPr>
          <a:spLocks/>
        </xdr:cNvSpPr>
      </xdr:nvSpPr>
      <xdr:spPr>
        <a:xfrm>
          <a:off x="11668538" y="2764150"/>
          <a:ext cx="828000" cy="395004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98ECA718-D99C-45B7-9F24-C6E93F3D7378}" type="TxLink">
            <a:rPr lang="en-US" sz="1100" baseline="0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Aufträge</a:t>
          </a:fld>
          <a:endParaRPr lang="de-CH" sz="1100" baseline="0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498595</xdr:colOff>
      <xdr:row>3</xdr:row>
      <xdr:rowOff>858493</xdr:rowOff>
    </xdr:from>
    <xdr:ext cx="1080000" cy="312425"/>
    <xdr:sp macro="" textlink="" fLocksText="0">
      <xdr:nvSpPr>
        <xdr:cNvPr id="11" name="Flussdiagramm: Dokument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SpPr>
          <a:spLocks/>
        </xdr:cNvSpPr>
      </xdr:nvSpPr>
      <xdr:spPr>
        <a:xfrm>
          <a:off x="1384420" y="1696693"/>
          <a:ext cx="1080000" cy="312425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de-CH" sz="900" baseline="0">
              <a:solidFill>
                <a:schemeClr val="tx2"/>
              </a:solidFill>
              <a:latin typeface="+mn-lt"/>
              <a:ea typeface="+mn-ea"/>
              <a:cs typeface="+mn-cs"/>
            </a:rPr>
            <a:t>002_Strat_Mgmt.exe</a:t>
          </a:r>
        </a:p>
      </xdr:txBody>
    </xdr:sp>
    <xdr:clientData/>
  </xdr:oneCellAnchor>
  <xdr:oneCellAnchor>
    <xdr:from>
      <xdr:col>2</xdr:col>
      <xdr:colOff>290286</xdr:colOff>
      <xdr:row>3</xdr:row>
      <xdr:rowOff>630550</xdr:rowOff>
    </xdr:from>
    <xdr:ext cx="1080000" cy="312425"/>
    <xdr:sp macro="" textlink="" fLocksText="0">
      <xdr:nvSpPr>
        <xdr:cNvPr id="12" name="Flussdiagramm: Dokument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0C000000}"/>
            </a:ext>
          </a:extLst>
        </xdr:cNvPr>
        <xdr:cNvSpPr>
          <a:spLocks/>
        </xdr:cNvSpPr>
      </xdr:nvSpPr>
      <xdr:spPr>
        <a:xfrm>
          <a:off x="1176111" y="1468750"/>
          <a:ext cx="1080000" cy="312425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de-CH" sz="1100" baseline="0">
              <a:solidFill>
                <a:schemeClr val="tx2"/>
              </a:solidFill>
              <a:latin typeface="+mn-lt"/>
              <a:ea typeface="+mn-ea"/>
              <a:cs typeface="+mn-cs"/>
            </a:rPr>
            <a:t>01_Cockpit.exe</a:t>
          </a:r>
        </a:p>
      </xdr:txBody>
    </xdr:sp>
    <xdr:clientData/>
  </xdr:oneCellAnchor>
  <xdr:twoCellAnchor>
    <xdr:from>
      <xdr:col>4</xdr:col>
      <xdr:colOff>630262</xdr:colOff>
      <xdr:row>3</xdr:row>
      <xdr:rowOff>969946</xdr:rowOff>
    </xdr:from>
    <xdr:to>
      <xdr:col>6</xdr:col>
      <xdr:colOff>505588</xdr:colOff>
      <xdr:row>3</xdr:row>
      <xdr:rowOff>1742673</xdr:rowOff>
    </xdr:to>
    <xdr:cxnSp macro="">
      <xdr:nvCxnSpPr>
        <xdr:cNvPr id="13" name="Gewinkelte Verbindung 12">
          <a:extLst>
            <a:ext uri="{FF2B5EF4-FFF2-40B4-BE49-F238E27FC236}">
              <a16:creationId xmlns:a16="http://schemas.microsoft.com/office/drawing/2014/main" id="{00000000-0008-0000-1700-00000D000000}"/>
            </a:ext>
          </a:extLst>
        </xdr:cNvPr>
        <xdr:cNvCxnSpPr>
          <a:stCxn id="117" idx="1"/>
          <a:endCxn id="8" idx="2"/>
        </xdr:cNvCxnSpPr>
      </xdr:nvCxnSpPr>
      <xdr:spPr>
        <a:xfrm rot="10800000">
          <a:off x="5107012" y="1808146"/>
          <a:ext cx="989751" cy="772727"/>
        </a:xfrm>
        <a:prstGeom prst="bentConnector2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360525</xdr:colOff>
      <xdr:row>3</xdr:row>
      <xdr:rowOff>416213</xdr:rowOff>
    </xdr:from>
    <xdr:to>
      <xdr:col>10</xdr:col>
      <xdr:colOff>648900</xdr:colOff>
      <xdr:row>3</xdr:row>
      <xdr:rowOff>416213</xdr:rowOff>
    </xdr:to>
    <xdr:cxnSp macro="">
      <xdr:nvCxnSpPr>
        <xdr:cNvPr id="14" name="Gerade Verbindung mit Pfeil 13">
          <a:extLst>
            <a:ext uri="{FF2B5EF4-FFF2-40B4-BE49-F238E27FC236}">
              <a16:creationId xmlns:a16="http://schemas.microsoft.com/office/drawing/2014/main" id="{00000000-0008-0000-1700-00000E000000}"/>
            </a:ext>
          </a:extLst>
        </xdr:cNvPr>
        <xdr:cNvCxnSpPr>
          <a:stCxn id="53" idx="3"/>
          <a:endCxn id="131" idx="1"/>
        </xdr:cNvCxnSpPr>
      </xdr:nvCxnSpPr>
      <xdr:spPr>
        <a:xfrm>
          <a:off x="10647525" y="1254413"/>
          <a:ext cx="2883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566118</xdr:colOff>
      <xdr:row>3</xdr:row>
      <xdr:rowOff>416184</xdr:rowOff>
    </xdr:from>
    <xdr:to>
      <xdr:col>2</xdr:col>
      <xdr:colOff>755373</xdr:colOff>
      <xdr:row>3</xdr:row>
      <xdr:rowOff>419509</xdr:rowOff>
    </xdr:to>
    <xdr:cxnSp macro="">
      <xdr:nvCxnSpPr>
        <xdr:cNvPr id="15" name="Gerade Verbindung mit Pfeil 14">
          <a:extLst>
            <a:ext uri="{FF2B5EF4-FFF2-40B4-BE49-F238E27FC236}">
              <a16:creationId xmlns:a16="http://schemas.microsoft.com/office/drawing/2014/main" id="{00000000-0008-0000-1700-00000F000000}"/>
            </a:ext>
          </a:extLst>
        </xdr:cNvPr>
        <xdr:cNvCxnSpPr>
          <a:stCxn id="36" idx="3"/>
          <a:endCxn id="70" idx="1"/>
        </xdr:cNvCxnSpPr>
      </xdr:nvCxnSpPr>
      <xdr:spPr>
        <a:xfrm>
          <a:off x="1451943" y="1254384"/>
          <a:ext cx="189255" cy="3325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2018412</xdr:colOff>
      <xdr:row>3</xdr:row>
      <xdr:rowOff>76694</xdr:rowOff>
    </xdr:from>
    <xdr:to>
      <xdr:col>3</xdr:col>
      <xdr:colOff>691813</xdr:colOff>
      <xdr:row>3</xdr:row>
      <xdr:rowOff>760692</xdr:rowOff>
    </xdr:to>
    <xdr:sp macro="" textlink="' '!A472" fLocksText="0">
      <xdr:nvSpPr>
        <xdr:cNvPr id="17" name="Flussdiagramm: Verzweigung 16">
          <a:extLst>
            <a:ext uri="{FF2B5EF4-FFF2-40B4-BE49-F238E27FC236}">
              <a16:creationId xmlns:a16="http://schemas.microsoft.com/office/drawing/2014/main" id="{00000000-0008-0000-1700-000011000000}"/>
            </a:ext>
          </a:extLst>
        </xdr:cNvPr>
        <xdr:cNvSpPr>
          <a:spLocks/>
        </xdr:cNvSpPr>
      </xdr:nvSpPr>
      <xdr:spPr>
        <a:xfrm>
          <a:off x="2904237" y="914894"/>
          <a:ext cx="1188001" cy="683998"/>
        </a:xfrm>
        <a:prstGeom prst="flowChartDecision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94B627CF-F388-4DFC-8B4F-8608B9680B16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Vision &amp; Strategien?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638698</xdr:colOff>
      <xdr:row>3</xdr:row>
      <xdr:rowOff>176319</xdr:rowOff>
    </xdr:from>
    <xdr:to>
      <xdr:col>3</xdr:col>
      <xdr:colOff>955491</xdr:colOff>
      <xdr:row>3</xdr:row>
      <xdr:rowOff>320318</xdr:rowOff>
    </xdr:to>
    <xdr:sp macro="" textlink="' '!A521" fLocksText="0">
      <xdr:nvSpPr>
        <xdr:cNvPr id="18" name="Textfeld 17">
          <a:extLst>
            <a:ext uri="{FF2B5EF4-FFF2-40B4-BE49-F238E27FC236}">
              <a16:creationId xmlns:a16="http://schemas.microsoft.com/office/drawing/2014/main" id="{00000000-0008-0000-1700-000012000000}"/>
            </a:ext>
          </a:extLst>
        </xdr:cNvPr>
        <xdr:cNvSpPr txBox="1"/>
      </xdr:nvSpPr>
      <xdr:spPr>
        <a:xfrm>
          <a:off x="4039123" y="1014519"/>
          <a:ext cx="316793" cy="143999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E307D7B-90C4-45BA-A482-6A57A817BFB0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ja</a:t>
          </a:fld>
          <a:endParaRPr lang="de-CH" sz="900" b="0" i="0" u="none" strike="noStrike" baseline="0">
            <a:solidFill>
              <a:schemeClr val="bg1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105935</xdr:colOff>
      <xdr:row>3</xdr:row>
      <xdr:rowOff>761568</xdr:rowOff>
    </xdr:from>
    <xdr:to>
      <xdr:col>3</xdr:col>
      <xdr:colOff>422728</xdr:colOff>
      <xdr:row>3</xdr:row>
      <xdr:rowOff>974588</xdr:rowOff>
    </xdr:to>
    <xdr:sp macro="" textlink="' '!A522" fLocksText="0">
      <xdr:nvSpPr>
        <xdr:cNvPr id="19" name="Textfeld 18">
          <a:extLst>
            <a:ext uri="{FF2B5EF4-FFF2-40B4-BE49-F238E27FC236}">
              <a16:creationId xmlns:a16="http://schemas.microsoft.com/office/drawing/2014/main" id="{00000000-0008-0000-1700-000013000000}"/>
            </a:ext>
          </a:extLst>
        </xdr:cNvPr>
        <xdr:cNvSpPr txBox="1"/>
      </xdr:nvSpPr>
      <xdr:spPr>
        <a:xfrm>
          <a:off x="3506360" y="1599768"/>
          <a:ext cx="316793" cy="21302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2C38B548-8605-4ED0-B571-0B723E1713E8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nein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2023021</xdr:colOff>
      <xdr:row>3</xdr:row>
      <xdr:rowOff>1438772</xdr:rowOff>
    </xdr:from>
    <xdr:to>
      <xdr:col>3</xdr:col>
      <xdr:colOff>696421</xdr:colOff>
      <xdr:row>3</xdr:row>
      <xdr:rowOff>2122772</xdr:rowOff>
    </xdr:to>
    <xdr:sp macro="" textlink="' '!A475" fLocksText="0">
      <xdr:nvSpPr>
        <xdr:cNvPr id="21" name="Flussdiagramm: Verzweigung 20">
          <a:extLst>
            <a:ext uri="{FF2B5EF4-FFF2-40B4-BE49-F238E27FC236}">
              <a16:creationId xmlns:a16="http://schemas.microsoft.com/office/drawing/2014/main" id="{00000000-0008-0000-1700-000015000000}"/>
            </a:ext>
          </a:extLst>
        </xdr:cNvPr>
        <xdr:cNvSpPr>
          <a:spLocks/>
        </xdr:cNvSpPr>
      </xdr:nvSpPr>
      <xdr:spPr>
        <a:xfrm>
          <a:off x="2908846" y="2276972"/>
          <a:ext cx="1188000" cy="684000"/>
        </a:xfrm>
        <a:prstGeom prst="flowChartDecision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15F4C41F-5C00-4C08-BCA7-3B8BF021923F}" type="TxLink">
            <a:rPr lang="en-US" sz="105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Cockpit ok?</a:t>
          </a:fld>
          <a:endParaRPr lang="de-CH" sz="105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465758</xdr:colOff>
      <xdr:row>3</xdr:row>
      <xdr:rowOff>1505633</xdr:rowOff>
    </xdr:from>
    <xdr:to>
      <xdr:col>3</xdr:col>
      <xdr:colOff>783267</xdr:colOff>
      <xdr:row>3</xdr:row>
      <xdr:rowOff>1756690</xdr:rowOff>
    </xdr:to>
    <xdr:sp macro="" textlink="' '!A521" fLocksText="0">
      <xdr:nvSpPr>
        <xdr:cNvPr id="22" name="Textfeld 21">
          <a:extLst>
            <a:ext uri="{FF2B5EF4-FFF2-40B4-BE49-F238E27FC236}">
              <a16:creationId xmlns:a16="http://schemas.microsoft.com/office/drawing/2014/main" id="{00000000-0008-0000-1700-000016000000}"/>
            </a:ext>
          </a:extLst>
        </xdr:cNvPr>
        <xdr:cNvSpPr txBox="1"/>
      </xdr:nvSpPr>
      <xdr:spPr>
        <a:xfrm>
          <a:off x="3866183" y="2343833"/>
          <a:ext cx="317509" cy="251057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F876CBC4-1519-4E78-9C88-BFD895CD2CD5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ja</a:t>
          </a:fld>
          <a:endParaRPr lang="de-CH" sz="900" b="0" i="0" u="none" strike="noStrike" baseline="0">
            <a:solidFill>
              <a:schemeClr val="bg1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1761044</xdr:colOff>
      <xdr:row>3</xdr:row>
      <xdr:rowOff>1597347</xdr:rowOff>
    </xdr:from>
    <xdr:to>
      <xdr:col>2</xdr:col>
      <xdr:colOff>2078553</xdr:colOff>
      <xdr:row>3</xdr:row>
      <xdr:rowOff>1848404</xdr:rowOff>
    </xdr:to>
    <xdr:sp macro="" textlink="' '!A522" fLocksText="0">
      <xdr:nvSpPr>
        <xdr:cNvPr id="23" name="Textfeld 22">
          <a:extLst>
            <a:ext uri="{FF2B5EF4-FFF2-40B4-BE49-F238E27FC236}">
              <a16:creationId xmlns:a16="http://schemas.microsoft.com/office/drawing/2014/main" id="{00000000-0008-0000-1700-000017000000}"/>
            </a:ext>
          </a:extLst>
        </xdr:cNvPr>
        <xdr:cNvSpPr txBox="1"/>
      </xdr:nvSpPr>
      <xdr:spPr>
        <a:xfrm>
          <a:off x="2646869" y="2435547"/>
          <a:ext cx="317509" cy="251057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EC05D24-46BD-4E0F-B67C-60D078758968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nein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256493</xdr:colOff>
      <xdr:row>3</xdr:row>
      <xdr:rowOff>416211</xdr:rowOff>
    </xdr:from>
    <xdr:to>
      <xdr:col>6</xdr:col>
      <xdr:colOff>500281</xdr:colOff>
      <xdr:row>3</xdr:row>
      <xdr:rowOff>419509</xdr:rowOff>
    </xdr:to>
    <xdr:cxnSp macro="">
      <xdr:nvCxnSpPr>
        <xdr:cNvPr id="24" name="Gerade Verbindung mit Pfeil 23">
          <a:extLst>
            <a:ext uri="{FF2B5EF4-FFF2-40B4-BE49-F238E27FC236}">
              <a16:creationId xmlns:a16="http://schemas.microsoft.com/office/drawing/2014/main" id="{00000000-0008-0000-1700-000018000000}"/>
            </a:ext>
          </a:extLst>
        </xdr:cNvPr>
        <xdr:cNvCxnSpPr>
          <a:stCxn id="71" idx="3"/>
          <a:endCxn id="38" idx="1"/>
        </xdr:cNvCxnSpPr>
      </xdr:nvCxnSpPr>
      <xdr:spPr>
        <a:xfrm flipV="1">
          <a:off x="5847668" y="1254411"/>
          <a:ext cx="243788" cy="3298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1835373</xdr:colOff>
      <xdr:row>3</xdr:row>
      <xdr:rowOff>418693</xdr:rowOff>
    </xdr:from>
    <xdr:to>
      <xdr:col>2</xdr:col>
      <xdr:colOff>2018410</xdr:colOff>
      <xdr:row>3</xdr:row>
      <xdr:rowOff>419509</xdr:rowOff>
    </xdr:to>
    <xdr:cxnSp macro="">
      <xdr:nvCxnSpPr>
        <xdr:cNvPr id="25" name="Gerade Verbindung mit Pfeil 24">
          <a:extLst>
            <a:ext uri="{FF2B5EF4-FFF2-40B4-BE49-F238E27FC236}">
              <a16:creationId xmlns:a16="http://schemas.microsoft.com/office/drawing/2014/main" id="{00000000-0008-0000-1700-000019000000}"/>
            </a:ext>
          </a:extLst>
        </xdr:cNvPr>
        <xdr:cNvCxnSpPr>
          <a:stCxn id="70" idx="3"/>
          <a:endCxn id="17" idx="1"/>
        </xdr:cNvCxnSpPr>
      </xdr:nvCxnSpPr>
      <xdr:spPr>
        <a:xfrm flipV="1">
          <a:off x="2721198" y="1256893"/>
          <a:ext cx="183037" cy="816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1038595</xdr:colOff>
      <xdr:row>3</xdr:row>
      <xdr:rowOff>1150264</xdr:rowOff>
    </xdr:from>
    <xdr:to>
      <xdr:col>2</xdr:col>
      <xdr:colOff>2023021</xdr:colOff>
      <xdr:row>3</xdr:row>
      <xdr:rowOff>1780773</xdr:rowOff>
    </xdr:to>
    <xdr:cxnSp macro="">
      <xdr:nvCxnSpPr>
        <xdr:cNvPr id="26" name="Gewinkelte Verbindung 25">
          <a:extLst>
            <a:ext uri="{FF2B5EF4-FFF2-40B4-BE49-F238E27FC236}">
              <a16:creationId xmlns:a16="http://schemas.microsoft.com/office/drawing/2014/main" id="{00000000-0008-0000-1700-00001A000000}"/>
            </a:ext>
          </a:extLst>
        </xdr:cNvPr>
        <xdr:cNvCxnSpPr>
          <a:stCxn id="21" idx="1"/>
          <a:endCxn id="11" idx="2"/>
        </xdr:cNvCxnSpPr>
      </xdr:nvCxnSpPr>
      <xdr:spPr>
        <a:xfrm rot="10800000">
          <a:off x="1924420" y="1988464"/>
          <a:ext cx="984426" cy="630509"/>
        </a:xfrm>
        <a:prstGeom prst="bentConnector2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691810</xdr:colOff>
      <xdr:row>3</xdr:row>
      <xdr:rowOff>418693</xdr:rowOff>
    </xdr:from>
    <xdr:to>
      <xdr:col>4</xdr:col>
      <xdr:colOff>290918</xdr:colOff>
      <xdr:row>3</xdr:row>
      <xdr:rowOff>419509</xdr:rowOff>
    </xdr:to>
    <xdr:cxnSp macro="">
      <xdr:nvCxnSpPr>
        <xdr:cNvPr id="27" name="Gerade Verbindung mit Pfeil 26">
          <a:extLst>
            <a:ext uri="{FF2B5EF4-FFF2-40B4-BE49-F238E27FC236}">
              <a16:creationId xmlns:a16="http://schemas.microsoft.com/office/drawing/2014/main" id="{00000000-0008-0000-1700-00001B000000}"/>
            </a:ext>
          </a:extLst>
        </xdr:cNvPr>
        <xdr:cNvCxnSpPr>
          <a:stCxn id="17" idx="3"/>
          <a:endCxn id="71" idx="1"/>
        </xdr:cNvCxnSpPr>
      </xdr:nvCxnSpPr>
      <xdr:spPr>
        <a:xfrm>
          <a:off x="4092235" y="1256893"/>
          <a:ext cx="675433" cy="816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771525</xdr:colOff>
      <xdr:row>2</xdr:row>
      <xdr:rowOff>72867</xdr:rowOff>
    </xdr:from>
    <xdr:ext cx="1085850" cy="229221"/>
    <xdr:sp macro="" textlink="' '!A471" fLocksText="0">
      <xdr:nvSpPr>
        <xdr:cNvPr id="28" name="Textfeld 27">
          <a:extLst>
            <a:ext uri="{FF2B5EF4-FFF2-40B4-BE49-F238E27FC236}">
              <a16:creationId xmlns:a16="http://schemas.microsoft.com/office/drawing/2014/main" id="{00000000-0008-0000-1700-00001C000000}"/>
            </a:ext>
          </a:extLst>
        </xdr:cNvPr>
        <xdr:cNvSpPr txBox="1">
          <a:spLocks/>
        </xdr:cNvSpPr>
      </xdr:nvSpPr>
      <xdr:spPr>
        <a:xfrm>
          <a:off x="1657350" y="796767"/>
          <a:ext cx="1085850" cy="2292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603830DF-03DA-486F-A3AC-41194707F9DA}" type="TxLink">
            <a:rPr lang="en-US" sz="1000" b="0" i="0" u="none" strike="noStrike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1-2 x pro Jahr</a:t>
          </a:fld>
          <a:endParaRPr lang="de-CH" sz="1000" b="0" i="0" u="none" strike="noStrike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4</xdr:col>
      <xdr:colOff>295275</xdr:colOff>
      <xdr:row>2</xdr:row>
      <xdr:rowOff>72867</xdr:rowOff>
    </xdr:from>
    <xdr:ext cx="1095375" cy="229221"/>
    <xdr:sp macro="" textlink="' '!A471" fLocksText="0">
      <xdr:nvSpPr>
        <xdr:cNvPr id="29" name="Textfeld 28">
          <a:extLst>
            <a:ext uri="{FF2B5EF4-FFF2-40B4-BE49-F238E27FC236}">
              <a16:creationId xmlns:a16="http://schemas.microsoft.com/office/drawing/2014/main" id="{00000000-0008-0000-1700-00001D000000}"/>
            </a:ext>
          </a:extLst>
        </xdr:cNvPr>
        <xdr:cNvSpPr txBox="1">
          <a:spLocks/>
        </xdr:cNvSpPr>
      </xdr:nvSpPr>
      <xdr:spPr>
        <a:xfrm>
          <a:off x="4772025" y="796767"/>
          <a:ext cx="1095375" cy="2292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36A69765-A9B8-4869-BC7D-BB8DC6208B37}" type="TxLink">
            <a:rPr lang="en-US" sz="1000" b="0" i="0" u="none" strike="noStrike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1-2 x pro Jahr</a:t>
          </a:fld>
          <a:endParaRPr lang="de-CH" sz="1000" b="0" i="0" u="none" strike="noStrike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4</xdr:col>
      <xdr:colOff>346590</xdr:colOff>
      <xdr:row>5</xdr:row>
      <xdr:rowOff>784029</xdr:rowOff>
    </xdr:from>
    <xdr:to>
      <xdr:col>6</xdr:col>
      <xdr:colOff>420165</xdr:colOff>
      <xdr:row>5</xdr:row>
      <xdr:rowOff>1468027</xdr:rowOff>
    </xdr:to>
    <xdr:sp macro="" textlink="' '!A485" fLocksText="0">
      <xdr:nvSpPr>
        <xdr:cNvPr id="31" name="Flussdiagramm: Verzweigung 30">
          <a:extLst>
            <a:ext uri="{FF2B5EF4-FFF2-40B4-BE49-F238E27FC236}">
              <a16:creationId xmlns:a16="http://schemas.microsoft.com/office/drawing/2014/main" id="{00000000-0008-0000-1700-00001F000000}"/>
            </a:ext>
          </a:extLst>
        </xdr:cNvPr>
        <xdr:cNvSpPr>
          <a:spLocks/>
        </xdr:cNvSpPr>
      </xdr:nvSpPr>
      <xdr:spPr>
        <a:xfrm>
          <a:off x="4823340" y="5937054"/>
          <a:ext cx="1188000" cy="683998"/>
        </a:xfrm>
        <a:prstGeom prst="flowChartDecision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829F62E0-AD21-481A-9FA5-AF85DDD6518D}" type="TxLink">
            <a:rPr lang="en-US" sz="105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Projekte aktuell?</a:t>
          </a:fld>
          <a:endParaRPr lang="de-CH" sz="105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100041</xdr:colOff>
      <xdr:row>5</xdr:row>
      <xdr:rowOff>953643</xdr:rowOff>
    </xdr:from>
    <xdr:to>
      <xdr:col>4</xdr:col>
      <xdr:colOff>416731</xdr:colOff>
      <xdr:row>5</xdr:row>
      <xdr:rowOff>1097643</xdr:rowOff>
    </xdr:to>
    <xdr:sp macro="" textlink="' '!A521" fLocksText="0">
      <xdr:nvSpPr>
        <xdr:cNvPr id="32" name="Textfeld 31">
          <a:extLst>
            <a:ext uri="{FF2B5EF4-FFF2-40B4-BE49-F238E27FC236}">
              <a16:creationId xmlns:a16="http://schemas.microsoft.com/office/drawing/2014/main" id="{00000000-0008-0000-1700-000020000000}"/>
            </a:ext>
          </a:extLst>
        </xdr:cNvPr>
        <xdr:cNvSpPr txBox="1"/>
      </xdr:nvSpPr>
      <xdr:spPr>
        <a:xfrm>
          <a:off x="4576791" y="6106668"/>
          <a:ext cx="316690" cy="144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37C63D8C-8215-43AC-9571-5EDC04E88E9D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ja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944057</xdr:colOff>
      <xdr:row>5</xdr:row>
      <xdr:rowOff>635672</xdr:rowOff>
    </xdr:from>
    <xdr:to>
      <xdr:col>6</xdr:col>
      <xdr:colOff>146322</xdr:colOff>
      <xdr:row>5</xdr:row>
      <xdr:rowOff>848692</xdr:rowOff>
    </xdr:to>
    <xdr:sp macro="" textlink="' '!A522" fLocksText="0">
      <xdr:nvSpPr>
        <xdr:cNvPr id="33" name="Textfeld 32">
          <a:extLst>
            <a:ext uri="{FF2B5EF4-FFF2-40B4-BE49-F238E27FC236}">
              <a16:creationId xmlns:a16="http://schemas.microsoft.com/office/drawing/2014/main" id="{00000000-0008-0000-1700-000021000000}"/>
            </a:ext>
          </a:extLst>
        </xdr:cNvPr>
        <xdr:cNvSpPr txBox="1"/>
      </xdr:nvSpPr>
      <xdr:spPr>
        <a:xfrm>
          <a:off x="5420807" y="5788697"/>
          <a:ext cx="316690" cy="21302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BF3A752B-D6E7-4D0E-94FD-D34941773D54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nein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940590</xdr:colOff>
      <xdr:row>5</xdr:row>
      <xdr:rowOff>560466</xdr:rowOff>
    </xdr:from>
    <xdr:to>
      <xdr:col>4</xdr:col>
      <xdr:colOff>945218</xdr:colOff>
      <xdr:row>5</xdr:row>
      <xdr:rowOff>784032</xdr:rowOff>
    </xdr:to>
    <xdr:cxnSp macro="">
      <xdr:nvCxnSpPr>
        <xdr:cNvPr id="34" name="Gerade Verbindung mit Pfeil 33">
          <a:extLst>
            <a:ext uri="{FF2B5EF4-FFF2-40B4-BE49-F238E27FC236}">
              <a16:creationId xmlns:a16="http://schemas.microsoft.com/office/drawing/2014/main" id="{00000000-0008-0000-1700-000022000000}"/>
            </a:ext>
          </a:extLst>
        </xdr:cNvPr>
        <xdr:cNvCxnSpPr>
          <a:stCxn id="31" idx="0"/>
          <a:endCxn id="62" idx="2"/>
        </xdr:cNvCxnSpPr>
      </xdr:nvCxnSpPr>
      <xdr:spPr>
        <a:xfrm flipV="1">
          <a:off x="5417340" y="5713491"/>
          <a:ext cx="4628" cy="223566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90262</xdr:colOff>
      <xdr:row>3</xdr:row>
      <xdr:rowOff>834389</xdr:rowOff>
    </xdr:from>
    <xdr:to>
      <xdr:col>4</xdr:col>
      <xdr:colOff>346591</xdr:colOff>
      <xdr:row>5</xdr:row>
      <xdr:rowOff>1126033</xdr:rowOff>
    </xdr:to>
    <xdr:cxnSp macro="">
      <xdr:nvCxnSpPr>
        <xdr:cNvPr id="35" name="Gewinkelte Verbindung 34">
          <a:extLst>
            <a:ext uri="{FF2B5EF4-FFF2-40B4-BE49-F238E27FC236}">
              <a16:creationId xmlns:a16="http://schemas.microsoft.com/office/drawing/2014/main" id="{00000000-0008-0000-1700-000023000000}"/>
            </a:ext>
          </a:extLst>
        </xdr:cNvPr>
        <xdr:cNvCxnSpPr>
          <a:stCxn id="31" idx="1"/>
          <a:endCxn id="8" idx="1"/>
        </xdr:cNvCxnSpPr>
      </xdr:nvCxnSpPr>
      <xdr:spPr>
        <a:xfrm rot="10800000">
          <a:off x="4567012" y="1672589"/>
          <a:ext cx="256329" cy="4606469"/>
        </a:xfrm>
        <a:prstGeom prst="bentConnector3">
          <a:avLst>
            <a:gd name="adj1" fmla="val 174318"/>
          </a:avLst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62118</xdr:colOff>
      <xdr:row>3</xdr:row>
      <xdr:rowOff>290184</xdr:rowOff>
    </xdr:from>
    <xdr:to>
      <xdr:col>2</xdr:col>
      <xdr:colOff>566118</xdr:colOff>
      <xdr:row>3</xdr:row>
      <xdr:rowOff>542184</xdr:rowOff>
    </xdr:to>
    <xdr:sp macro="" textlink="' '!A517" fLocksText="0">
      <xdr:nvSpPr>
        <xdr:cNvPr id="36" name="Flussdiagramm: Grenzstelle 35">
          <a:extLst>
            <a:ext uri="{FF2B5EF4-FFF2-40B4-BE49-F238E27FC236}">
              <a16:creationId xmlns:a16="http://schemas.microsoft.com/office/drawing/2014/main" id="{00000000-0008-0000-1700-000024000000}"/>
            </a:ext>
          </a:extLst>
        </xdr:cNvPr>
        <xdr:cNvSpPr/>
      </xdr:nvSpPr>
      <xdr:spPr>
        <a:xfrm>
          <a:off x="947943" y="1128384"/>
          <a:ext cx="504000" cy="252000"/>
        </a:xfrm>
        <a:prstGeom prst="flowChartTerminator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83EDE901-85BB-4042-B811-B40CA5401D82}" type="TxLink">
            <a:rPr lang="en-US" sz="1000" b="0" i="0" u="none" strike="noStrike" baseline="0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Beginn</a:t>
          </a:fld>
          <a:endParaRPr lang="de-CH" sz="1000" b="0" i="0" u="none" strike="noStrike" baseline="0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500281</xdr:colOff>
      <xdr:row>3</xdr:row>
      <xdr:rowOff>74211</xdr:rowOff>
    </xdr:from>
    <xdr:to>
      <xdr:col>7</xdr:col>
      <xdr:colOff>535756</xdr:colOff>
      <xdr:row>3</xdr:row>
      <xdr:rowOff>758210</xdr:rowOff>
    </xdr:to>
    <xdr:sp macro="" textlink="' '!A514" fLocksText="0">
      <xdr:nvSpPr>
        <xdr:cNvPr id="38" name="Flussdiagramm: Verzweigung 37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SpPr>
          <a:spLocks/>
        </xdr:cNvSpPr>
      </xdr:nvSpPr>
      <xdr:spPr>
        <a:xfrm>
          <a:off x="6091456" y="912411"/>
          <a:ext cx="1188000" cy="683999"/>
        </a:xfrm>
        <a:prstGeom prst="flowChartDecision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86135DFB-03B2-41FF-B8B4-127F74AA7E2D}" type="TxLink">
            <a:rPr lang="en-US" sz="10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Qualitäts-strategien?</a:t>
          </a:fld>
          <a:endParaRPr lang="de-CH" sz="10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419397</xdr:colOff>
      <xdr:row>3</xdr:row>
      <xdr:rowOff>250036</xdr:rowOff>
    </xdr:from>
    <xdr:to>
      <xdr:col>7</xdr:col>
      <xdr:colOff>737320</xdr:colOff>
      <xdr:row>3</xdr:row>
      <xdr:rowOff>394035</xdr:rowOff>
    </xdr:to>
    <xdr:sp macro="" textlink="' '!A521" fLocksText="0">
      <xdr:nvSpPr>
        <xdr:cNvPr id="39" name="Textfeld 38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SpPr txBox="1"/>
      </xdr:nvSpPr>
      <xdr:spPr>
        <a:xfrm>
          <a:off x="7163097" y="1088236"/>
          <a:ext cx="317923" cy="143999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8125F92B-3C9C-4137-937A-71F4CF48D6E7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ja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1142746</xdr:colOff>
      <xdr:row>3</xdr:row>
      <xdr:rowOff>740032</xdr:rowOff>
    </xdr:from>
    <xdr:to>
      <xdr:col>7</xdr:col>
      <xdr:colOff>308144</xdr:colOff>
      <xdr:row>3</xdr:row>
      <xdr:rowOff>953051</xdr:rowOff>
    </xdr:to>
    <xdr:sp macro="" textlink="' '!A522" fLocksText="0">
      <xdr:nvSpPr>
        <xdr:cNvPr id="40" name="Textfeld 39">
          <a:extLst>
            <a:ext uri="{FF2B5EF4-FFF2-40B4-BE49-F238E27FC236}">
              <a16:creationId xmlns:a16="http://schemas.microsoft.com/office/drawing/2014/main" id="{00000000-0008-0000-1700-000028000000}"/>
            </a:ext>
          </a:extLst>
        </xdr:cNvPr>
        <xdr:cNvSpPr txBox="1"/>
      </xdr:nvSpPr>
      <xdr:spPr>
        <a:xfrm>
          <a:off x="6733921" y="1578232"/>
          <a:ext cx="317923" cy="213019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9C61E8F-5F5A-474B-A030-DC1FE0413FF2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nein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945218</xdr:colOff>
      <xdr:row>4</xdr:row>
      <xdr:rowOff>1012930</xdr:rowOff>
    </xdr:from>
    <xdr:to>
      <xdr:col>4</xdr:col>
      <xdr:colOff>945218</xdr:colOff>
      <xdr:row>5</xdr:row>
      <xdr:rowOff>157781</xdr:rowOff>
    </xdr:to>
    <xdr:cxnSp macro="">
      <xdr:nvCxnSpPr>
        <xdr:cNvPr id="41" name="Gerade Verbindung mit Pfeil 40">
          <a:extLst>
            <a:ext uri="{FF2B5EF4-FFF2-40B4-BE49-F238E27FC236}">
              <a16:creationId xmlns:a16="http://schemas.microsoft.com/office/drawing/2014/main" id="{00000000-0008-0000-1700-000029000000}"/>
            </a:ext>
          </a:extLst>
        </xdr:cNvPr>
        <xdr:cNvCxnSpPr>
          <a:stCxn id="62" idx="0"/>
          <a:endCxn id="77" idx="2"/>
        </xdr:cNvCxnSpPr>
      </xdr:nvCxnSpPr>
      <xdr:spPr>
        <a:xfrm flipV="1">
          <a:off x="5421968" y="4413355"/>
          <a:ext cx="0" cy="897451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535756</xdr:colOff>
      <xdr:row>3</xdr:row>
      <xdr:rowOff>416211</xdr:rowOff>
    </xdr:from>
    <xdr:to>
      <xdr:col>7</xdr:col>
      <xdr:colOff>1136373</xdr:colOff>
      <xdr:row>3</xdr:row>
      <xdr:rowOff>419509</xdr:rowOff>
    </xdr:to>
    <xdr:cxnSp macro="">
      <xdr:nvCxnSpPr>
        <xdr:cNvPr id="42" name="Gerade Verbindung mit Pfeil 41">
          <a:extLst>
            <a:ext uri="{FF2B5EF4-FFF2-40B4-BE49-F238E27FC236}">
              <a16:creationId xmlns:a16="http://schemas.microsoft.com/office/drawing/2014/main" id="{00000000-0008-0000-1700-00002A000000}"/>
            </a:ext>
          </a:extLst>
        </xdr:cNvPr>
        <xdr:cNvCxnSpPr>
          <a:stCxn id="38" idx="3"/>
          <a:endCxn id="153" idx="1"/>
        </xdr:cNvCxnSpPr>
      </xdr:nvCxnSpPr>
      <xdr:spPr>
        <a:xfrm>
          <a:off x="7279456" y="1254411"/>
          <a:ext cx="600617" cy="3298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414223</xdr:colOff>
      <xdr:row>3</xdr:row>
      <xdr:rowOff>758212</xdr:rowOff>
    </xdr:from>
    <xdr:to>
      <xdr:col>11</xdr:col>
      <xdr:colOff>419071</xdr:colOff>
      <xdr:row>3</xdr:row>
      <xdr:rowOff>1435385</xdr:rowOff>
    </xdr:to>
    <xdr:cxnSp macro="">
      <xdr:nvCxnSpPr>
        <xdr:cNvPr id="43" name="Gerade Verbindung mit Pfeil 42">
          <a:extLst>
            <a:ext uri="{FF2B5EF4-FFF2-40B4-BE49-F238E27FC236}">
              <a16:creationId xmlns:a16="http://schemas.microsoft.com/office/drawing/2014/main" id="{00000000-0008-0000-1700-00002B000000}"/>
            </a:ext>
          </a:extLst>
        </xdr:cNvPr>
        <xdr:cNvCxnSpPr>
          <a:stCxn id="131" idx="2"/>
          <a:endCxn id="129" idx="0"/>
        </xdr:cNvCxnSpPr>
      </xdr:nvCxnSpPr>
      <xdr:spPr>
        <a:xfrm>
          <a:off x="11529898" y="1596412"/>
          <a:ext cx="4848" cy="677173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1145121</xdr:colOff>
      <xdr:row>2</xdr:row>
      <xdr:rowOff>72867</xdr:rowOff>
    </xdr:from>
    <xdr:ext cx="1057221" cy="229221"/>
    <xdr:sp macro="" textlink="' '!A479" fLocksText="0">
      <xdr:nvSpPr>
        <xdr:cNvPr id="44" name="Textfeld 43">
          <a:extLst>
            <a:ext uri="{FF2B5EF4-FFF2-40B4-BE49-F238E27FC236}">
              <a16:creationId xmlns:a16="http://schemas.microsoft.com/office/drawing/2014/main" id="{00000000-0008-0000-1700-00002C000000}"/>
            </a:ext>
          </a:extLst>
        </xdr:cNvPr>
        <xdr:cNvSpPr txBox="1">
          <a:spLocks/>
        </xdr:cNvSpPr>
      </xdr:nvSpPr>
      <xdr:spPr>
        <a:xfrm>
          <a:off x="7888821" y="796767"/>
          <a:ext cx="1057221" cy="2292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516CBF81-98DC-4C86-88BD-87454B7EFCA0}" type="TxLink">
            <a:rPr lang="en-US" sz="1000" b="0" i="0" u="none" strike="noStrike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6 - 12 x pro Jahr</a:t>
          </a:fld>
          <a:endParaRPr lang="de-CH" sz="1000" b="0" i="0" u="none" strike="noStrike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7</xdr:col>
      <xdr:colOff>1076678</xdr:colOff>
      <xdr:row>5</xdr:row>
      <xdr:rowOff>784030</xdr:rowOff>
    </xdr:from>
    <xdr:to>
      <xdr:col>8</xdr:col>
      <xdr:colOff>1112153</xdr:colOff>
      <xdr:row>5</xdr:row>
      <xdr:rowOff>1468032</xdr:rowOff>
    </xdr:to>
    <xdr:sp macro="" textlink="' '!A485" fLocksText="0">
      <xdr:nvSpPr>
        <xdr:cNvPr id="46" name="Flussdiagramm: Verzweigung 45">
          <a:extLst>
            <a:ext uri="{FF2B5EF4-FFF2-40B4-BE49-F238E27FC236}">
              <a16:creationId xmlns:a16="http://schemas.microsoft.com/office/drawing/2014/main" id="{00000000-0008-0000-1700-00002E000000}"/>
            </a:ext>
          </a:extLst>
        </xdr:cNvPr>
        <xdr:cNvSpPr>
          <a:spLocks/>
        </xdr:cNvSpPr>
      </xdr:nvSpPr>
      <xdr:spPr>
        <a:xfrm>
          <a:off x="7820378" y="5937055"/>
          <a:ext cx="1188000" cy="684002"/>
        </a:xfrm>
        <a:prstGeom prst="flowChartDecision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CD3E6B3D-1C3D-49B6-8D7C-879A7584788C}" type="TxLink">
            <a:rPr lang="en-US" sz="105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Projekte aktuell?</a:t>
          </a:fld>
          <a:endParaRPr lang="de-CH" sz="105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845265</xdr:colOff>
      <xdr:row>5</xdr:row>
      <xdr:rowOff>944117</xdr:rowOff>
    </xdr:from>
    <xdr:to>
      <xdr:col>8</xdr:col>
      <xdr:colOff>11275</xdr:colOff>
      <xdr:row>5</xdr:row>
      <xdr:rowOff>1088117</xdr:rowOff>
    </xdr:to>
    <xdr:sp macro="" textlink="' '!A521" fLocksText="0">
      <xdr:nvSpPr>
        <xdr:cNvPr id="47" name="Textfeld 46">
          <a:extLst>
            <a:ext uri="{FF2B5EF4-FFF2-40B4-BE49-F238E27FC236}">
              <a16:creationId xmlns:a16="http://schemas.microsoft.com/office/drawing/2014/main" id="{00000000-0008-0000-1700-00002F000000}"/>
            </a:ext>
          </a:extLst>
        </xdr:cNvPr>
        <xdr:cNvSpPr txBox="1"/>
      </xdr:nvSpPr>
      <xdr:spPr>
        <a:xfrm>
          <a:off x="7588965" y="6097142"/>
          <a:ext cx="318535" cy="144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79F620B-8548-4E86-ABA0-A9480F3368D4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ja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534623</xdr:colOff>
      <xdr:row>5</xdr:row>
      <xdr:rowOff>626143</xdr:rowOff>
    </xdr:from>
    <xdr:to>
      <xdr:col>8</xdr:col>
      <xdr:colOff>853158</xdr:colOff>
      <xdr:row>5</xdr:row>
      <xdr:rowOff>806144</xdr:rowOff>
    </xdr:to>
    <xdr:sp macro="" textlink="' '!A522" fLocksText="0">
      <xdr:nvSpPr>
        <xdr:cNvPr id="48" name="Textfeld 47">
          <a:extLst>
            <a:ext uri="{FF2B5EF4-FFF2-40B4-BE49-F238E27FC236}">
              <a16:creationId xmlns:a16="http://schemas.microsoft.com/office/drawing/2014/main" id="{00000000-0008-0000-1700-000030000000}"/>
            </a:ext>
          </a:extLst>
        </xdr:cNvPr>
        <xdr:cNvSpPr txBox="1"/>
      </xdr:nvSpPr>
      <xdr:spPr>
        <a:xfrm>
          <a:off x="8430848" y="5779168"/>
          <a:ext cx="318535" cy="18000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B56CC6EF-310C-4F84-B4B3-08A30BCB100D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nein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1137592</xdr:colOff>
      <xdr:row>4</xdr:row>
      <xdr:rowOff>472930</xdr:rowOff>
    </xdr:from>
    <xdr:to>
      <xdr:col>8</xdr:col>
      <xdr:colOff>1065067</xdr:colOff>
      <xdr:row>4</xdr:row>
      <xdr:rowOff>1011073</xdr:rowOff>
    </xdr:to>
    <xdr:sp macro="" textlink="' '!A480" fLocksText="0">
      <xdr:nvSpPr>
        <xdr:cNvPr id="49" name="Flussdiagramm: Prozess 48">
          <a:extLst>
            <a:ext uri="{FF2B5EF4-FFF2-40B4-BE49-F238E27FC236}">
              <a16:creationId xmlns:a16="http://schemas.microsoft.com/office/drawing/2014/main" id="{00000000-0008-0000-1700-000031000000}"/>
            </a:ext>
          </a:extLst>
        </xdr:cNvPr>
        <xdr:cNvSpPr>
          <a:spLocks noChangeAspect="1"/>
        </xdr:cNvSpPr>
      </xdr:nvSpPr>
      <xdr:spPr>
        <a:xfrm>
          <a:off x="7881292" y="3873355"/>
          <a:ext cx="1080000" cy="538143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E8CB2341-6050-461E-9E3F-2EB12CBA9041}" type="TxLink">
            <a:rPr lang="en-US" sz="1100" b="0" i="0" u="none" strike="noStrike" baseline="0">
              <a:solidFill>
                <a:srgbClr val="000000"/>
              </a:solidFill>
              <a:latin typeface="Calibri"/>
            </a:rPr>
            <a:pPr algn="ctr"/>
            <a:t>Projekte aktualisieren</a:t>
          </a:fld>
          <a:endParaRPr lang="en-US" sz="1000" baseline="0"/>
        </a:p>
      </xdr:txBody>
    </xdr:sp>
    <xdr:clientData/>
  </xdr:twoCellAnchor>
  <xdr:twoCellAnchor>
    <xdr:from>
      <xdr:col>8</xdr:col>
      <xdr:colOff>518153</xdr:colOff>
      <xdr:row>5</xdr:row>
      <xdr:rowOff>557697</xdr:rowOff>
    </xdr:from>
    <xdr:to>
      <xdr:col>8</xdr:col>
      <xdr:colOff>523852</xdr:colOff>
      <xdr:row>5</xdr:row>
      <xdr:rowOff>784030</xdr:rowOff>
    </xdr:to>
    <xdr:cxnSp macro="">
      <xdr:nvCxnSpPr>
        <xdr:cNvPr id="50" name="Gerade Verbindung mit Pfeil 49">
          <a:extLst>
            <a:ext uri="{FF2B5EF4-FFF2-40B4-BE49-F238E27FC236}">
              <a16:creationId xmlns:a16="http://schemas.microsoft.com/office/drawing/2014/main" id="{00000000-0008-0000-1700-000032000000}"/>
            </a:ext>
          </a:extLst>
        </xdr:cNvPr>
        <xdr:cNvCxnSpPr>
          <a:stCxn id="46" idx="0"/>
          <a:endCxn id="63" idx="2"/>
        </xdr:cNvCxnSpPr>
      </xdr:nvCxnSpPr>
      <xdr:spPr>
        <a:xfrm flipV="1">
          <a:off x="8414378" y="5710722"/>
          <a:ext cx="5699" cy="226333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523852</xdr:colOff>
      <xdr:row>4</xdr:row>
      <xdr:rowOff>1011073</xdr:rowOff>
    </xdr:from>
    <xdr:to>
      <xdr:col>8</xdr:col>
      <xdr:colOff>525067</xdr:colOff>
      <xdr:row>5</xdr:row>
      <xdr:rowOff>157781</xdr:rowOff>
    </xdr:to>
    <xdr:cxnSp macro="">
      <xdr:nvCxnSpPr>
        <xdr:cNvPr id="51" name="Gerade Verbindung mit Pfeil 50">
          <a:extLst>
            <a:ext uri="{FF2B5EF4-FFF2-40B4-BE49-F238E27FC236}">
              <a16:creationId xmlns:a16="http://schemas.microsoft.com/office/drawing/2014/main" id="{00000000-0008-0000-1700-000033000000}"/>
            </a:ext>
          </a:extLst>
        </xdr:cNvPr>
        <xdr:cNvCxnSpPr>
          <a:stCxn id="63" idx="0"/>
          <a:endCxn id="49" idx="2"/>
        </xdr:cNvCxnSpPr>
      </xdr:nvCxnSpPr>
      <xdr:spPr>
        <a:xfrm flipV="1">
          <a:off x="8420077" y="4411498"/>
          <a:ext cx="1215" cy="899308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344097</xdr:colOff>
      <xdr:row>3</xdr:row>
      <xdr:rowOff>74213</xdr:rowOff>
    </xdr:from>
    <xdr:to>
      <xdr:col>10</xdr:col>
      <xdr:colOff>360522</xdr:colOff>
      <xdr:row>3</xdr:row>
      <xdr:rowOff>758212</xdr:rowOff>
    </xdr:to>
    <xdr:sp macro="" textlink="' '!A478" fLocksText="0">
      <xdr:nvSpPr>
        <xdr:cNvPr id="53" name="Flussdiagramm: Verzweigung 52">
          <a:extLst>
            <a:ext uri="{FF2B5EF4-FFF2-40B4-BE49-F238E27FC236}">
              <a16:creationId xmlns:a16="http://schemas.microsoft.com/office/drawing/2014/main" id="{00000000-0008-0000-1700-000035000000}"/>
            </a:ext>
          </a:extLst>
        </xdr:cNvPr>
        <xdr:cNvSpPr>
          <a:spLocks/>
        </xdr:cNvSpPr>
      </xdr:nvSpPr>
      <xdr:spPr>
        <a:xfrm>
          <a:off x="9459522" y="912413"/>
          <a:ext cx="1188000" cy="683999"/>
        </a:xfrm>
        <a:prstGeom prst="flowChartDecision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934A7490-9495-4441-A5E4-5B431A8A200D}" type="TxLink">
            <a:rPr lang="en-US" sz="10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Projekte ok?</a:t>
          </a:fld>
          <a:endParaRPr lang="de-CH" sz="10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203881</xdr:colOff>
      <xdr:row>3</xdr:row>
      <xdr:rowOff>205727</xdr:rowOff>
    </xdr:from>
    <xdr:to>
      <xdr:col>10</xdr:col>
      <xdr:colOff>521084</xdr:colOff>
      <xdr:row>3</xdr:row>
      <xdr:rowOff>349727</xdr:rowOff>
    </xdr:to>
    <xdr:sp macro="" textlink="' '!A521" fLocksText="0">
      <xdr:nvSpPr>
        <xdr:cNvPr id="54" name="Textfeld 53">
          <a:extLst>
            <a:ext uri="{FF2B5EF4-FFF2-40B4-BE49-F238E27FC236}">
              <a16:creationId xmlns:a16="http://schemas.microsoft.com/office/drawing/2014/main" id="{00000000-0008-0000-1700-000036000000}"/>
            </a:ext>
          </a:extLst>
        </xdr:cNvPr>
        <xdr:cNvSpPr txBox="1"/>
      </xdr:nvSpPr>
      <xdr:spPr>
        <a:xfrm>
          <a:off x="10490881" y="1043927"/>
          <a:ext cx="317203" cy="144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8BDFC5A7-A04A-49A1-9C8C-A309AD372314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ja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949545</xdr:colOff>
      <xdr:row>3</xdr:row>
      <xdr:rowOff>735063</xdr:rowOff>
    </xdr:from>
    <xdr:to>
      <xdr:col>10</xdr:col>
      <xdr:colOff>95173</xdr:colOff>
      <xdr:row>3</xdr:row>
      <xdr:rowOff>948084</xdr:rowOff>
    </xdr:to>
    <xdr:sp macro="" textlink="' '!A522" fLocksText="0">
      <xdr:nvSpPr>
        <xdr:cNvPr id="55" name="Textfeld 54">
          <a:extLst>
            <a:ext uri="{FF2B5EF4-FFF2-40B4-BE49-F238E27FC236}">
              <a16:creationId xmlns:a16="http://schemas.microsoft.com/office/drawing/2014/main" id="{00000000-0008-0000-1700-000037000000}"/>
            </a:ext>
          </a:extLst>
        </xdr:cNvPr>
        <xdr:cNvSpPr txBox="1"/>
      </xdr:nvSpPr>
      <xdr:spPr>
        <a:xfrm>
          <a:off x="10064970" y="1573263"/>
          <a:ext cx="317203" cy="2130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5040F5F-8064-40F2-B7F6-E1AF57E6C960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nein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1063848</xdr:colOff>
      <xdr:row>3</xdr:row>
      <xdr:rowOff>416213</xdr:rowOff>
    </xdr:from>
    <xdr:to>
      <xdr:col>9</xdr:col>
      <xdr:colOff>344097</xdr:colOff>
      <xdr:row>3</xdr:row>
      <xdr:rowOff>419509</xdr:rowOff>
    </xdr:to>
    <xdr:cxnSp macro="">
      <xdr:nvCxnSpPr>
        <xdr:cNvPr id="56" name="Gerade Verbindung mit Pfeil 55">
          <a:extLst>
            <a:ext uri="{FF2B5EF4-FFF2-40B4-BE49-F238E27FC236}">
              <a16:creationId xmlns:a16="http://schemas.microsoft.com/office/drawing/2014/main" id="{00000000-0008-0000-1700-000038000000}"/>
            </a:ext>
          </a:extLst>
        </xdr:cNvPr>
        <xdr:cNvCxnSpPr>
          <a:stCxn id="153" idx="3"/>
          <a:endCxn id="53" idx="1"/>
        </xdr:cNvCxnSpPr>
      </xdr:nvCxnSpPr>
      <xdr:spPr>
        <a:xfrm flipV="1">
          <a:off x="8960073" y="1254413"/>
          <a:ext cx="499449" cy="3296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403771</xdr:colOff>
      <xdr:row>3</xdr:row>
      <xdr:rowOff>1425429</xdr:rowOff>
    </xdr:from>
    <xdr:to>
      <xdr:col>10</xdr:col>
      <xdr:colOff>310540</xdr:colOff>
      <xdr:row>3</xdr:row>
      <xdr:rowOff>1965429</xdr:rowOff>
    </xdr:to>
    <xdr:sp macro="" textlink="' '!A482" fLocksText="0">
      <xdr:nvSpPr>
        <xdr:cNvPr id="57" name="Flussdiagramm: Prozess 56">
          <a:extLst>
            <a:ext uri="{FF2B5EF4-FFF2-40B4-BE49-F238E27FC236}">
              <a16:creationId xmlns:a16="http://schemas.microsoft.com/office/drawing/2014/main" id="{00000000-0008-0000-1700-000039000000}"/>
            </a:ext>
          </a:extLst>
        </xdr:cNvPr>
        <xdr:cNvSpPr>
          <a:spLocks/>
        </xdr:cNvSpPr>
      </xdr:nvSpPr>
      <xdr:spPr>
        <a:xfrm>
          <a:off x="9519196" y="2263629"/>
          <a:ext cx="1078344" cy="540000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1ED16340-C288-4D38-B650-359EBA264DB8}" type="TxLink">
            <a:rPr lang="en-US" sz="10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Korrektur-massnahmen</a:t>
          </a:fld>
          <a:endParaRPr lang="en-US" sz="1000" b="0" i="0" u="none" strike="noStrike" baseline="0">
            <a:solidFill>
              <a:srgbClr val="000000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942943</xdr:colOff>
      <xdr:row>3</xdr:row>
      <xdr:rowOff>1965429</xdr:rowOff>
    </xdr:from>
    <xdr:to>
      <xdr:col>9</xdr:col>
      <xdr:colOff>943770</xdr:colOff>
      <xdr:row>4</xdr:row>
      <xdr:rowOff>463407</xdr:rowOff>
    </xdr:to>
    <xdr:cxnSp macro="">
      <xdr:nvCxnSpPr>
        <xdr:cNvPr id="58" name="Gerade Verbindung mit Pfeil 57">
          <a:extLst>
            <a:ext uri="{FF2B5EF4-FFF2-40B4-BE49-F238E27FC236}">
              <a16:creationId xmlns:a16="http://schemas.microsoft.com/office/drawing/2014/main" id="{00000000-0008-0000-1700-00003A000000}"/>
            </a:ext>
          </a:extLst>
        </xdr:cNvPr>
        <xdr:cNvCxnSpPr>
          <a:stCxn id="57" idx="2"/>
          <a:endCxn id="75" idx="0"/>
        </xdr:cNvCxnSpPr>
      </xdr:nvCxnSpPr>
      <xdr:spPr>
        <a:xfrm>
          <a:off x="10058368" y="2803629"/>
          <a:ext cx="827" cy="1060203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938097</xdr:colOff>
      <xdr:row>3</xdr:row>
      <xdr:rowOff>758212</xdr:rowOff>
    </xdr:from>
    <xdr:to>
      <xdr:col>9</xdr:col>
      <xdr:colOff>942943</xdr:colOff>
      <xdr:row>3</xdr:row>
      <xdr:rowOff>1425429</xdr:rowOff>
    </xdr:to>
    <xdr:cxnSp macro="">
      <xdr:nvCxnSpPr>
        <xdr:cNvPr id="59" name="Gerade Verbindung mit Pfeil 58">
          <a:extLst>
            <a:ext uri="{FF2B5EF4-FFF2-40B4-BE49-F238E27FC236}">
              <a16:creationId xmlns:a16="http://schemas.microsoft.com/office/drawing/2014/main" id="{00000000-0008-0000-1700-00003B000000}"/>
            </a:ext>
          </a:extLst>
        </xdr:cNvPr>
        <xdr:cNvCxnSpPr>
          <a:stCxn id="53" idx="2"/>
          <a:endCxn id="57" idx="0"/>
        </xdr:cNvCxnSpPr>
      </xdr:nvCxnSpPr>
      <xdr:spPr>
        <a:xfrm>
          <a:off x="10053522" y="1596412"/>
          <a:ext cx="4846" cy="667217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167250</xdr:colOff>
      <xdr:row>3</xdr:row>
      <xdr:rowOff>486900</xdr:rowOff>
    </xdr:from>
    <xdr:to>
      <xdr:col>9</xdr:col>
      <xdr:colOff>403770</xdr:colOff>
      <xdr:row>4</xdr:row>
      <xdr:rowOff>733407</xdr:rowOff>
    </xdr:to>
    <xdr:cxnSp macro="">
      <xdr:nvCxnSpPr>
        <xdr:cNvPr id="60" name="Gewinkelte Verbindung 59">
          <a:extLst>
            <a:ext uri="{FF2B5EF4-FFF2-40B4-BE49-F238E27FC236}">
              <a16:creationId xmlns:a16="http://schemas.microsoft.com/office/drawing/2014/main" id="{00000000-0008-0000-1700-00003C000000}"/>
            </a:ext>
          </a:extLst>
        </xdr:cNvPr>
        <xdr:cNvCxnSpPr>
          <a:stCxn id="75" idx="1"/>
          <a:endCxn id="80" idx="4"/>
        </xdr:cNvCxnSpPr>
      </xdr:nvCxnSpPr>
      <xdr:spPr>
        <a:xfrm rot="10800000">
          <a:off x="9282675" y="1325100"/>
          <a:ext cx="236520" cy="2808732"/>
        </a:xfrm>
        <a:prstGeom prst="bentConnector2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14</xdr:col>
      <xdr:colOff>688696</xdr:colOff>
      <xdr:row>4</xdr:row>
      <xdr:rowOff>610311</xdr:rowOff>
    </xdr:from>
    <xdr:to>
      <xdr:col>14</xdr:col>
      <xdr:colOff>1192696</xdr:colOff>
      <xdr:row>4</xdr:row>
      <xdr:rowOff>862311</xdr:rowOff>
    </xdr:to>
    <xdr:sp macro="" textlink="' '!A518" fLocksText="0">
      <xdr:nvSpPr>
        <xdr:cNvPr id="61" name="Flussdiagramm: Grenzstelle 60">
          <a:extLst>
            <a:ext uri="{FF2B5EF4-FFF2-40B4-BE49-F238E27FC236}">
              <a16:creationId xmlns:a16="http://schemas.microsoft.com/office/drawing/2014/main" id="{00000000-0008-0000-1700-00003D000000}"/>
            </a:ext>
          </a:extLst>
        </xdr:cNvPr>
        <xdr:cNvSpPr/>
      </xdr:nvSpPr>
      <xdr:spPr>
        <a:xfrm>
          <a:off x="13375996" y="4010736"/>
          <a:ext cx="504000" cy="252000"/>
        </a:xfrm>
        <a:prstGeom prst="flowChartTerminator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FE5EBC5-34F6-4FEF-86C8-77B91626011C}" type="TxLink">
            <a:rPr lang="en-US" sz="1000" b="0" i="0" u="none" strike="noStrike" baseline="0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Ende</a:t>
          </a:fld>
          <a:endParaRPr lang="de-CH" sz="1000" b="0" i="0" u="none" strike="noStrike" baseline="0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405218</xdr:colOff>
      <xdr:row>5</xdr:row>
      <xdr:rowOff>157781</xdr:rowOff>
    </xdr:from>
    <xdr:to>
      <xdr:col>6</xdr:col>
      <xdr:colOff>370793</xdr:colOff>
      <xdr:row>5</xdr:row>
      <xdr:rowOff>560466</xdr:rowOff>
    </xdr:to>
    <xdr:sp macro="" textlink="' '!A484" fLocksText="0">
      <xdr:nvSpPr>
        <xdr:cNvPr id="62" name="Flussdiagramm: Prozess 61">
          <a:extLst>
            <a:ext uri="{FF2B5EF4-FFF2-40B4-BE49-F238E27FC236}">
              <a16:creationId xmlns:a16="http://schemas.microsoft.com/office/drawing/2014/main" id="{00000000-0008-0000-1700-00003E000000}"/>
            </a:ext>
          </a:extLst>
        </xdr:cNvPr>
        <xdr:cNvSpPr>
          <a:spLocks noChangeAspect="1"/>
        </xdr:cNvSpPr>
      </xdr:nvSpPr>
      <xdr:spPr>
        <a:xfrm>
          <a:off x="4881968" y="5310806"/>
          <a:ext cx="1080000" cy="402685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54D0833B-FF41-4266-A3A2-676F5C56D934}" type="TxLink">
            <a:rPr lang="en-US" sz="1100" b="0" i="0" u="none" strike="noStrike" baseline="0">
              <a:solidFill>
                <a:srgbClr val="000000"/>
              </a:solidFill>
              <a:latin typeface="Calibri"/>
            </a:rPr>
            <a:pPr algn="ctr"/>
            <a:t>Erinnerungsmail</a:t>
          </a:fld>
          <a:endParaRPr lang="en-US" sz="1000" baseline="0"/>
        </a:p>
      </xdr:txBody>
    </xdr:sp>
    <xdr:clientData/>
  </xdr:twoCellAnchor>
  <xdr:twoCellAnchor>
    <xdr:from>
      <xdr:col>7</xdr:col>
      <xdr:colOff>1136377</xdr:colOff>
      <xdr:row>5</xdr:row>
      <xdr:rowOff>157781</xdr:rowOff>
    </xdr:from>
    <xdr:to>
      <xdr:col>8</xdr:col>
      <xdr:colOff>1063852</xdr:colOff>
      <xdr:row>5</xdr:row>
      <xdr:rowOff>557697</xdr:rowOff>
    </xdr:to>
    <xdr:sp macro="" textlink="' '!A484" fLocksText="0">
      <xdr:nvSpPr>
        <xdr:cNvPr id="63" name="Flussdiagramm: Prozess 62">
          <a:extLst>
            <a:ext uri="{FF2B5EF4-FFF2-40B4-BE49-F238E27FC236}">
              <a16:creationId xmlns:a16="http://schemas.microsoft.com/office/drawing/2014/main" id="{00000000-0008-0000-1700-00003F000000}"/>
            </a:ext>
          </a:extLst>
        </xdr:cNvPr>
        <xdr:cNvSpPr>
          <a:spLocks noChangeAspect="1"/>
        </xdr:cNvSpPr>
      </xdr:nvSpPr>
      <xdr:spPr>
        <a:xfrm>
          <a:off x="7880077" y="5310806"/>
          <a:ext cx="1080000" cy="399916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37E2DC10-A476-41BA-A499-E5533D951A86}" type="TxLink">
            <a:rPr lang="en-US" sz="1100" b="0" i="0" u="none" strike="noStrike" baseline="0">
              <a:solidFill>
                <a:srgbClr val="000000"/>
              </a:solidFill>
              <a:latin typeface="Calibri"/>
            </a:rPr>
            <a:pPr algn="ctr"/>
            <a:t>Erinnerungsmail</a:t>
          </a:fld>
          <a:endParaRPr lang="en-US" sz="1000" baseline="0"/>
        </a:p>
      </xdr:txBody>
    </xdr:sp>
    <xdr:clientData/>
  </xdr:twoCellAnchor>
  <xdr:twoCellAnchor>
    <xdr:from>
      <xdr:col>7</xdr:col>
      <xdr:colOff>804636</xdr:colOff>
      <xdr:row>3</xdr:row>
      <xdr:rowOff>815339</xdr:rowOff>
    </xdr:from>
    <xdr:to>
      <xdr:col>7</xdr:col>
      <xdr:colOff>1076678</xdr:colOff>
      <xdr:row>5</xdr:row>
      <xdr:rowOff>1126032</xdr:rowOff>
    </xdr:to>
    <xdr:cxnSp macro="">
      <xdr:nvCxnSpPr>
        <xdr:cNvPr id="64" name="Gewinkelte Verbindung 63">
          <a:extLst>
            <a:ext uri="{FF2B5EF4-FFF2-40B4-BE49-F238E27FC236}">
              <a16:creationId xmlns:a16="http://schemas.microsoft.com/office/drawing/2014/main" id="{00000000-0008-0000-1700-000040000000}"/>
            </a:ext>
          </a:extLst>
        </xdr:cNvPr>
        <xdr:cNvCxnSpPr>
          <a:stCxn id="46" idx="1"/>
          <a:endCxn id="152" idx="1"/>
        </xdr:cNvCxnSpPr>
      </xdr:nvCxnSpPr>
      <xdr:spPr>
        <a:xfrm rot="10800000">
          <a:off x="7548336" y="1653539"/>
          <a:ext cx="272042" cy="4625518"/>
        </a:xfrm>
        <a:prstGeom prst="bentConnector3">
          <a:avLst>
            <a:gd name="adj1" fmla="val 184031"/>
          </a:avLst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76200</xdr:colOff>
      <xdr:row>1</xdr:row>
      <xdr:rowOff>76200</xdr:rowOff>
    </xdr:from>
    <xdr:to>
      <xdr:col>0</xdr:col>
      <xdr:colOff>400200</xdr:colOff>
      <xdr:row>1</xdr:row>
      <xdr:rowOff>401665</xdr:rowOff>
    </xdr:to>
    <xdr:grpSp>
      <xdr:nvGrpSpPr>
        <xdr:cNvPr id="65" name="Gruppieren 6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700-000041000000}"/>
            </a:ext>
          </a:extLst>
        </xdr:cNvPr>
        <xdr:cNvGrpSpPr/>
      </xdr:nvGrpSpPr>
      <xdr:grpSpPr>
        <a:xfrm>
          <a:off x="76200" y="647700"/>
          <a:ext cx="324000" cy="325465"/>
          <a:chOff x="12729063" y="1298331"/>
          <a:chExt cx="324000" cy="323267"/>
        </a:xfrm>
      </xdr:grpSpPr>
      <xdr:sp macro="" textlink="">
        <xdr:nvSpPr>
          <xdr:cNvPr id="66" name="Rechteck 65">
            <a:extLst>
              <a:ext uri="{FF2B5EF4-FFF2-40B4-BE49-F238E27FC236}">
                <a16:creationId xmlns:a16="http://schemas.microsoft.com/office/drawing/2014/main" id="{00000000-0008-0000-1700-000042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67" name="Grafik 66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700-00004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</xdr:col>
      <xdr:colOff>763728</xdr:colOff>
      <xdr:row>3</xdr:row>
      <xdr:rowOff>1712409</xdr:rowOff>
    </xdr:from>
    <xdr:ext cx="798372" cy="229221"/>
    <xdr:sp macro="" textlink="" fLocksText="0">
      <xdr:nvSpPr>
        <xdr:cNvPr id="68" name="Textfeld 67">
          <a:extLst>
            <a:ext uri="{FF2B5EF4-FFF2-40B4-BE49-F238E27FC236}">
              <a16:creationId xmlns:a16="http://schemas.microsoft.com/office/drawing/2014/main" id="{00000000-0008-0000-1700-000044000000}"/>
            </a:ext>
          </a:extLst>
        </xdr:cNvPr>
        <xdr:cNvSpPr txBox="1">
          <a:spLocks/>
        </xdr:cNvSpPr>
      </xdr:nvSpPr>
      <xdr:spPr>
        <a:xfrm>
          <a:off x="5240478" y="2550609"/>
          <a:ext cx="798372" cy="2292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F2E9C53E-3940-44C0-854F-3DA71E6C86DF}" type="TxLink">
            <a:rPr lang="en-US" sz="10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 </a:t>
          </a:fld>
          <a:endParaRPr lang="de-CH" sz="10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1163778</xdr:colOff>
      <xdr:row>3</xdr:row>
      <xdr:rowOff>1740984</xdr:rowOff>
    </xdr:from>
    <xdr:ext cx="798372" cy="229221"/>
    <xdr:sp macro="" textlink="' '!A487" fLocksText="0">
      <xdr:nvSpPr>
        <xdr:cNvPr id="69" name="Textfeld 68">
          <a:extLst>
            <a:ext uri="{FF2B5EF4-FFF2-40B4-BE49-F238E27FC236}">
              <a16:creationId xmlns:a16="http://schemas.microsoft.com/office/drawing/2014/main" id="{00000000-0008-0000-1700-000045000000}"/>
            </a:ext>
          </a:extLst>
        </xdr:cNvPr>
        <xdr:cNvSpPr txBox="1">
          <a:spLocks/>
        </xdr:cNvSpPr>
      </xdr:nvSpPr>
      <xdr:spPr>
        <a:xfrm>
          <a:off x="2049603" y="2579184"/>
          <a:ext cx="798372" cy="2292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AB229286-3060-41CD-9FB0-0A216A9F14E8}" type="TxLink">
            <a:rPr lang="en-US" sz="10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aktualisieren</a:t>
          </a:fld>
          <a:endParaRPr lang="de-CH" sz="1000" b="0" i="0" u="none" strike="noStrike" baseline="0">
            <a:solidFill>
              <a:schemeClr val="bg1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oneCellAnchor>
  <xdr:twoCellAnchor>
    <xdr:from>
      <xdr:col>2</xdr:col>
      <xdr:colOff>755373</xdr:colOff>
      <xdr:row>3</xdr:row>
      <xdr:rowOff>149509</xdr:rowOff>
    </xdr:from>
    <xdr:to>
      <xdr:col>2</xdr:col>
      <xdr:colOff>1835373</xdr:colOff>
      <xdr:row>3</xdr:row>
      <xdr:rowOff>689509</xdr:rowOff>
    </xdr:to>
    <xdr:sp macro="" textlink="' '!A470" fLocksText="0">
      <xdr:nvSpPr>
        <xdr:cNvPr id="70" name="Flussdiagramm: Vordefinierter Prozess 69">
          <a:extLst>
            <a:ext uri="{FF2B5EF4-FFF2-40B4-BE49-F238E27FC236}">
              <a16:creationId xmlns:a16="http://schemas.microsoft.com/office/drawing/2014/main" id="{00000000-0008-0000-1700-000046000000}"/>
            </a:ext>
          </a:extLst>
        </xdr:cNvPr>
        <xdr:cNvSpPr/>
      </xdr:nvSpPr>
      <xdr:spPr>
        <a:xfrm>
          <a:off x="1641198" y="987709"/>
          <a:ext cx="1080000" cy="540000"/>
        </a:xfrm>
        <a:prstGeom prst="flowChartPredefinedProcess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EE6E6729-43E4-4B84-9987-57CCC2B035E6}" type="TxLink">
            <a:rPr lang="en-US" sz="1050" b="0" i="0" u="none" strike="noStrike" baseline="0">
              <a:solidFill>
                <a:schemeClr val="accent3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Strategie-klausur</a:t>
          </a:fld>
          <a:endParaRPr lang="de-CH" sz="1050" b="0" i="0" u="none" strike="noStrike" baseline="0">
            <a:solidFill>
              <a:schemeClr val="accent3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290918</xdr:colOff>
      <xdr:row>3</xdr:row>
      <xdr:rowOff>149509</xdr:rowOff>
    </xdr:from>
    <xdr:to>
      <xdr:col>6</xdr:col>
      <xdr:colOff>256493</xdr:colOff>
      <xdr:row>3</xdr:row>
      <xdr:rowOff>689509</xdr:rowOff>
    </xdr:to>
    <xdr:sp macro="" textlink="' '!A474" fLocksText="0">
      <xdr:nvSpPr>
        <xdr:cNvPr id="71" name="Flussdiagramm: Vordefinierter Prozess 70">
          <a:extLst>
            <a:ext uri="{FF2B5EF4-FFF2-40B4-BE49-F238E27FC236}">
              <a16:creationId xmlns:a16="http://schemas.microsoft.com/office/drawing/2014/main" id="{00000000-0008-0000-1700-000047000000}"/>
            </a:ext>
          </a:extLst>
        </xdr:cNvPr>
        <xdr:cNvSpPr/>
      </xdr:nvSpPr>
      <xdr:spPr>
        <a:xfrm>
          <a:off x="4767668" y="987709"/>
          <a:ext cx="1080000" cy="540000"/>
        </a:xfrm>
        <a:prstGeom prst="flowChartPredefinedProcess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8B85985-69FA-4CE1-B4D7-48EBC56AAE34}" type="TxLink">
            <a:rPr lang="en-US" sz="1050" b="0" i="0" u="none" strike="noStrike" baseline="0">
              <a:solidFill>
                <a:schemeClr val="accent3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Management Review </a:t>
          </a:fld>
          <a:endParaRPr lang="de-CH" sz="1050" b="0" i="0" u="none" strike="noStrike" baseline="0">
            <a:solidFill>
              <a:schemeClr val="accent3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oneCellAnchor>
    <xdr:from>
      <xdr:col>4</xdr:col>
      <xdr:colOff>413</xdr:colOff>
      <xdr:row>4</xdr:row>
      <xdr:rowOff>935350</xdr:rowOff>
    </xdr:from>
    <xdr:ext cx="828000" cy="395004"/>
    <xdr:sp macro="" textlink="' '!A486" fLocksText="0">
      <xdr:nvSpPr>
        <xdr:cNvPr id="72" name="Flussdiagramm: Dokument 7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48000000}"/>
            </a:ext>
          </a:extLst>
        </xdr:cNvPr>
        <xdr:cNvSpPr>
          <a:spLocks/>
        </xdr:cNvSpPr>
      </xdr:nvSpPr>
      <xdr:spPr>
        <a:xfrm>
          <a:off x="4477163" y="4335775"/>
          <a:ext cx="828000" cy="395004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7C1E2DE-7753-45FD-9C1C-4D8BE8021537}" type="TxLink">
            <a:rPr lang="en-US" sz="1050" baseline="0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Projekt_?.exe</a:t>
          </a:fld>
          <a:endParaRPr lang="de-CH" sz="1050" baseline="0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9</xdr:col>
      <xdr:colOff>152813</xdr:colOff>
      <xdr:row>4</xdr:row>
      <xdr:rowOff>954400</xdr:rowOff>
    </xdr:from>
    <xdr:ext cx="828000" cy="395004"/>
    <xdr:sp macro="" textlink="' '!A486" fLocksText="0">
      <xdr:nvSpPr>
        <xdr:cNvPr id="73" name="Flussdiagramm: Dokument 7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49000000}"/>
            </a:ext>
          </a:extLst>
        </xdr:cNvPr>
        <xdr:cNvSpPr>
          <a:spLocks/>
        </xdr:cNvSpPr>
      </xdr:nvSpPr>
      <xdr:spPr>
        <a:xfrm>
          <a:off x="9268238" y="4354825"/>
          <a:ext cx="828000" cy="395004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6E572E9-14F1-4233-90AA-97A787D26063}" type="TxLink">
            <a:rPr lang="en-US" sz="1050" baseline="0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Projekt_?.exe</a:t>
          </a:fld>
          <a:endParaRPr lang="de-CH" sz="1050" baseline="0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11</xdr:col>
      <xdr:colOff>543338</xdr:colOff>
      <xdr:row>4</xdr:row>
      <xdr:rowOff>935350</xdr:rowOff>
    </xdr:from>
    <xdr:ext cx="828000" cy="395004"/>
    <xdr:sp macro="" textlink="' '!A486" fLocksText="0">
      <xdr:nvSpPr>
        <xdr:cNvPr id="74" name="Flussdiagramm: Dokument 7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4A000000}"/>
            </a:ext>
          </a:extLst>
        </xdr:cNvPr>
        <xdr:cNvSpPr>
          <a:spLocks/>
        </xdr:cNvSpPr>
      </xdr:nvSpPr>
      <xdr:spPr>
        <a:xfrm>
          <a:off x="11659013" y="4335775"/>
          <a:ext cx="828000" cy="395004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2A1ABB17-E183-4D0D-9381-7945C497ECC4}" type="TxLink">
            <a:rPr lang="en-US" sz="1050" baseline="0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Projekt_?.exe</a:t>
          </a:fld>
          <a:endParaRPr lang="de-CH" sz="1050" baseline="0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9</xdr:col>
      <xdr:colOff>403770</xdr:colOff>
      <xdr:row>4</xdr:row>
      <xdr:rowOff>463407</xdr:rowOff>
    </xdr:from>
    <xdr:to>
      <xdr:col>10</xdr:col>
      <xdr:colOff>312195</xdr:colOff>
      <xdr:row>4</xdr:row>
      <xdr:rowOff>1003407</xdr:rowOff>
    </xdr:to>
    <xdr:sp macro="" textlink="' '!A483" fLocksText="0">
      <xdr:nvSpPr>
        <xdr:cNvPr id="75" name="Flussdiagramm: Prozess 74">
          <a:extLst>
            <a:ext uri="{FF2B5EF4-FFF2-40B4-BE49-F238E27FC236}">
              <a16:creationId xmlns:a16="http://schemas.microsoft.com/office/drawing/2014/main" id="{00000000-0008-0000-1700-00004B000000}"/>
            </a:ext>
          </a:extLst>
        </xdr:cNvPr>
        <xdr:cNvSpPr>
          <a:spLocks/>
        </xdr:cNvSpPr>
      </xdr:nvSpPr>
      <xdr:spPr>
        <a:xfrm>
          <a:off x="9519195" y="3863832"/>
          <a:ext cx="1080000" cy="540000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C8FCCDA4-A1A5-4993-BB1D-569689810DBA}" type="TxLink">
            <a:rPr lang="en-US" sz="1100" b="0" i="0" u="none" strike="noStrike" baseline="0">
              <a:solidFill>
                <a:srgbClr val="000000"/>
              </a:solidFill>
              <a:latin typeface="Calibri"/>
            </a:rPr>
            <a:pPr algn="ctr"/>
            <a:t>Projektauftrag aktualisieren</a:t>
          </a:fld>
          <a:endParaRPr lang="en-US" sz="1000" baseline="0"/>
        </a:p>
      </xdr:txBody>
    </xdr:sp>
    <xdr:clientData/>
  </xdr:twoCellAnchor>
  <xdr:twoCellAnchor>
    <xdr:from>
      <xdr:col>10</xdr:col>
      <xdr:colOff>698223</xdr:colOff>
      <xdr:row>4</xdr:row>
      <xdr:rowOff>463405</xdr:rowOff>
    </xdr:from>
    <xdr:to>
      <xdr:col>12</xdr:col>
      <xdr:colOff>73248</xdr:colOff>
      <xdr:row>4</xdr:row>
      <xdr:rowOff>1003405</xdr:rowOff>
    </xdr:to>
    <xdr:sp macro="" textlink="' '!A489" fLocksText="0">
      <xdr:nvSpPr>
        <xdr:cNvPr id="76" name="Flussdiagramm: Vordefinierter Prozess 75">
          <a:extLst>
            <a:ext uri="{FF2B5EF4-FFF2-40B4-BE49-F238E27FC236}">
              <a16:creationId xmlns:a16="http://schemas.microsoft.com/office/drawing/2014/main" id="{00000000-0008-0000-1700-00004C000000}"/>
            </a:ext>
          </a:extLst>
        </xdr:cNvPr>
        <xdr:cNvSpPr/>
      </xdr:nvSpPr>
      <xdr:spPr>
        <a:xfrm>
          <a:off x="10985223" y="3863830"/>
          <a:ext cx="1080000" cy="540000"/>
        </a:xfrm>
        <a:prstGeom prst="flowChartPredefinedProcess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E0C5F92E-C35C-41D0-AD2A-3DB328CEB192}" type="TxLink">
            <a:rPr lang="en-US" sz="1050" b="0" i="0" u="none" strike="noStrike" baseline="0">
              <a:solidFill>
                <a:schemeClr val="accent3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Projekt-management</a:t>
          </a:fld>
          <a:endParaRPr lang="de-CH" sz="1050" b="0" i="0" u="none" strike="noStrike" baseline="0">
            <a:solidFill>
              <a:schemeClr val="accent3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405218</xdr:colOff>
      <xdr:row>4</xdr:row>
      <xdr:rowOff>472930</xdr:rowOff>
    </xdr:from>
    <xdr:to>
      <xdr:col>6</xdr:col>
      <xdr:colOff>370793</xdr:colOff>
      <xdr:row>4</xdr:row>
      <xdr:rowOff>1012930</xdr:rowOff>
    </xdr:to>
    <xdr:sp macro="" textlink="' '!A480" fLocksText="0">
      <xdr:nvSpPr>
        <xdr:cNvPr id="77" name="Flussdiagramm: Prozess 76">
          <a:extLst>
            <a:ext uri="{FF2B5EF4-FFF2-40B4-BE49-F238E27FC236}">
              <a16:creationId xmlns:a16="http://schemas.microsoft.com/office/drawing/2014/main" id="{00000000-0008-0000-1700-00004D000000}"/>
            </a:ext>
          </a:extLst>
        </xdr:cNvPr>
        <xdr:cNvSpPr>
          <a:spLocks/>
        </xdr:cNvSpPr>
      </xdr:nvSpPr>
      <xdr:spPr>
        <a:xfrm>
          <a:off x="4881968" y="3873355"/>
          <a:ext cx="1080000" cy="540000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B151DDA8-1119-4090-BD01-23D28941B418}" type="TxLink">
            <a:rPr lang="en-US" sz="1100" b="0" i="0" u="none" strike="noStrike" baseline="0">
              <a:solidFill>
                <a:srgbClr val="000000"/>
              </a:solidFill>
              <a:latin typeface="Calibri"/>
            </a:rPr>
            <a:pPr algn="ctr"/>
            <a:t>Projekte aktualisieren</a:t>
          </a:fld>
          <a:endParaRPr lang="en-US" sz="1100" baseline="0"/>
        </a:p>
      </xdr:txBody>
    </xdr:sp>
    <xdr:clientData/>
  </xdr:twoCellAnchor>
  <xdr:twoCellAnchor>
    <xdr:from>
      <xdr:col>3</xdr:col>
      <xdr:colOff>314325</xdr:colOff>
      <xdr:row>6</xdr:row>
      <xdr:rowOff>1087950</xdr:rowOff>
    </xdr:from>
    <xdr:to>
      <xdr:col>4</xdr:col>
      <xdr:colOff>318000</xdr:colOff>
      <xdr:row>6</xdr:row>
      <xdr:rowOff>1627950</xdr:rowOff>
    </xdr:to>
    <xdr:sp macro="" textlink="' '!A499" fLocksText="0">
      <xdr:nvSpPr>
        <xdr:cNvPr id="78" name="Flussdiagramm: Prozess 77">
          <a:extLst>
            <a:ext uri="{FF2B5EF4-FFF2-40B4-BE49-F238E27FC236}">
              <a16:creationId xmlns:a16="http://schemas.microsoft.com/office/drawing/2014/main" id="{00000000-0008-0000-1700-00004E000000}"/>
            </a:ext>
          </a:extLst>
        </xdr:cNvPr>
        <xdr:cNvSpPr>
          <a:spLocks/>
        </xdr:cNvSpPr>
      </xdr:nvSpPr>
      <xdr:spPr>
        <a:xfrm>
          <a:off x="3714750" y="7869750"/>
          <a:ext cx="1080000" cy="540000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01973E3D-F848-47E7-902F-914992323F38}" type="TxLink">
            <a:rPr lang="en-US" sz="11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Bilanz QM</a:t>
          </a:fld>
          <a:endParaRPr lang="en-US" sz="1100" b="0" i="0" u="none" strike="noStrike" baseline="0">
            <a:solidFill>
              <a:srgbClr val="000000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541499</xdr:colOff>
      <xdr:row>6</xdr:row>
      <xdr:rowOff>1359188</xdr:rowOff>
    </xdr:from>
    <xdr:to>
      <xdr:col>7</xdr:col>
      <xdr:colOff>838197</xdr:colOff>
      <xdr:row>6</xdr:row>
      <xdr:rowOff>1361175</xdr:rowOff>
    </xdr:to>
    <xdr:cxnSp macro="">
      <xdr:nvCxnSpPr>
        <xdr:cNvPr id="79" name="Gerade Verbindung mit Pfeil 78">
          <a:extLst>
            <a:ext uri="{FF2B5EF4-FFF2-40B4-BE49-F238E27FC236}">
              <a16:creationId xmlns:a16="http://schemas.microsoft.com/office/drawing/2014/main" id="{00000000-0008-0000-1700-00004F000000}"/>
            </a:ext>
          </a:extLst>
        </xdr:cNvPr>
        <xdr:cNvCxnSpPr>
          <a:stCxn id="88" idx="3"/>
          <a:endCxn id="112" idx="1"/>
        </xdr:cNvCxnSpPr>
      </xdr:nvCxnSpPr>
      <xdr:spPr>
        <a:xfrm>
          <a:off x="7285199" y="8140988"/>
          <a:ext cx="296698" cy="1987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95250</xdr:colOff>
      <xdr:row>3</xdr:row>
      <xdr:rowOff>342900</xdr:rowOff>
    </xdr:from>
    <xdr:to>
      <xdr:col>9</xdr:col>
      <xdr:colOff>239250</xdr:colOff>
      <xdr:row>3</xdr:row>
      <xdr:rowOff>486900</xdr:rowOff>
    </xdr:to>
    <xdr:sp macro="" textlink="">
      <xdr:nvSpPr>
        <xdr:cNvPr id="80" name="Flussdiagramm: Verbindungsstelle 79">
          <a:extLst>
            <a:ext uri="{FF2B5EF4-FFF2-40B4-BE49-F238E27FC236}">
              <a16:creationId xmlns:a16="http://schemas.microsoft.com/office/drawing/2014/main" id="{00000000-0008-0000-1700-000050000000}"/>
            </a:ext>
          </a:extLst>
        </xdr:cNvPr>
        <xdr:cNvSpPr>
          <a:spLocks noChangeAspect="1"/>
        </xdr:cNvSpPr>
      </xdr:nvSpPr>
      <xdr:spPr>
        <a:xfrm>
          <a:off x="9210675" y="1181100"/>
          <a:ext cx="144000" cy="144000"/>
        </a:xfrm>
        <a:prstGeom prst="flowChartConnector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endParaRPr lang="de-CH" sz="10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1065067</xdr:colOff>
      <xdr:row>4</xdr:row>
      <xdr:rowOff>742002</xdr:rowOff>
    </xdr:from>
    <xdr:to>
      <xdr:col>8</xdr:col>
      <xdr:colOff>1112153</xdr:colOff>
      <xdr:row>5</xdr:row>
      <xdr:rowOff>1126031</xdr:rowOff>
    </xdr:to>
    <xdr:cxnSp macro="">
      <xdr:nvCxnSpPr>
        <xdr:cNvPr id="81" name="Gewinkelte Verbindung 80">
          <a:extLst>
            <a:ext uri="{FF2B5EF4-FFF2-40B4-BE49-F238E27FC236}">
              <a16:creationId xmlns:a16="http://schemas.microsoft.com/office/drawing/2014/main" id="{00000000-0008-0000-1700-000051000000}"/>
            </a:ext>
          </a:extLst>
        </xdr:cNvPr>
        <xdr:cNvCxnSpPr>
          <a:stCxn id="49" idx="3"/>
          <a:endCxn id="46" idx="3"/>
        </xdr:cNvCxnSpPr>
      </xdr:nvCxnSpPr>
      <xdr:spPr>
        <a:xfrm>
          <a:off x="8961292" y="4142427"/>
          <a:ext cx="47086" cy="2136629"/>
        </a:xfrm>
        <a:prstGeom prst="bentConnector3">
          <a:avLst>
            <a:gd name="adj1" fmla="val 585495"/>
          </a:avLst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971550</xdr:colOff>
      <xdr:row>4</xdr:row>
      <xdr:rowOff>244317</xdr:rowOff>
    </xdr:from>
    <xdr:ext cx="1362075" cy="229221"/>
    <xdr:sp macro="" textlink="" fLocksText="0">
      <xdr:nvSpPr>
        <xdr:cNvPr id="82" name="Textfeld 81">
          <a:extLst>
            <a:ext uri="{FF2B5EF4-FFF2-40B4-BE49-F238E27FC236}">
              <a16:creationId xmlns:a16="http://schemas.microsoft.com/office/drawing/2014/main" id="{00000000-0008-0000-1700-000052000000}"/>
            </a:ext>
          </a:extLst>
        </xdr:cNvPr>
        <xdr:cNvSpPr txBox="1">
          <a:spLocks/>
        </xdr:cNvSpPr>
      </xdr:nvSpPr>
      <xdr:spPr>
        <a:xfrm>
          <a:off x="7715250" y="3644742"/>
          <a:ext cx="1362075" cy="2292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0F617FCB-2277-4169-B85D-BBE502D6E211}" type="TxLink">
            <a:rPr lang="en-US" sz="1000" b="0" i="0" u="none" strike="noStrike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 </a:t>
          </a:fld>
          <a:endParaRPr lang="de-CH" sz="10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4</xdr:col>
      <xdr:colOff>240246</xdr:colOff>
      <xdr:row>4</xdr:row>
      <xdr:rowOff>244317</xdr:rowOff>
    </xdr:from>
    <xdr:ext cx="1388529" cy="229221"/>
    <xdr:sp macro="" textlink="" fLocksText="0">
      <xdr:nvSpPr>
        <xdr:cNvPr id="83" name="Textfeld 82">
          <a:extLst>
            <a:ext uri="{FF2B5EF4-FFF2-40B4-BE49-F238E27FC236}">
              <a16:creationId xmlns:a16="http://schemas.microsoft.com/office/drawing/2014/main" id="{00000000-0008-0000-1700-000053000000}"/>
            </a:ext>
          </a:extLst>
        </xdr:cNvPr>
        <xdr:cNvSpPr txBox="1">
          <a:spLocks/>
        </xdr:cNvSpPr>
      </xdr:nvSpPr>
      <xdr:spPr>
        <a:xfrm>
          <a:off x="4716996" y="3644742"/>
          <a:ext cx="1388529" cy="2292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CEDA4E17-153A-4E9E-AFBB-C8424520F076}" type="TxLink">
            <a:rPr lang="en-US" sz="1000" b="0" i="0" u="none" strike="noStrike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 </a:t>
          </a:fld>
          <a:endParaRPr lang="de-CH" sz="10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3</xdr:col>
      <xdr:colOff>696421</xdr:colOff>
      <xdr:row>3</xdr:row>
      <xdr:rowOff>475337</xdr:rowOff>
    </xdr:from>
    <xdr:to>
      <xdr:col>3</xdr:col>
      <xdr:colOff>754513</xdr:colOff>
      <xdr:row>3</xdr:row>
      <xdr:rowOff>1780772</xdr:rowOff>
    </xdr:to>
    <xdr:cxnSp macro="">
      <xdr:nvCxnSpPr>
        <xdr:cNvPr id="85" name="Gewinkelte Verbindung 84">
          <a:extLst>
            <a:ext uri="{FF2B5EF4-FFF2-40B4-BE49-F238E27FC236}">
              <a16:creationId xmlns:a16="http://schemas.microsoft.com/office/drawing/2014/main" id="{00000000-0008-0000-1700-000055000000}"/>
            </a:ext>
          </a:extLst>
        </xdr:cNvPr>
        <xdr:cNvCxnSpPr>
          <a:stCxn id="21" idx="3"/>
          <a:endCxn id="86" idx="3"/>
        </xdr:cNvCxnSpPr>
      </xdr:nvCxnSpPr>
      <xdr:spPr>
        <a:xfrm flipV="1">
          <a:off x="4096846" y="1313537"/>
          <a:ext cx="58092" cy="1305435"/>
        </a:xfrm>
        <a:prstGeom prst="bentConnector2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3</xdr:row>
      <xdr:rowOff>352425</xdr:rowOff>
    </xdr:from>
    <xdr:to>
      <xdr:col>3</xdr:col>
      <xdr:colOff>877425</xdr:colOff>
      <xdr:row>3</xdr:row>
      <xdr:rowOff>496425</xdr:rowOff>
    </xdr:to>
    <xdr:sp macro="" textlink="">
      <xdr:nvSpPr>
        <xdr:cNvPr id="86" name="Flussdiagramm: Verbindungsstelle 85">
          <a:extLst>
            <a:ext uri="{FF2B5EF4-FFF2-40B4-BE49-F238E27FC236}">
              <a16:creationId xmlns:a16="http://schemas.microsoft.com/office/drawing/2014/main" id="{00000000-0008-0000-1700-000056000000}"/>
            </a:ext>
          </a:extLst>
        </xdr:cNvPr>
        <xdr:cNvSpPr>
          <a:spLocks noChangeAspect="1"/>
        </xdr:cNvSpPr>
      </xdr:nvSpPr>
      <xdr:spPr>
        <a:xfrm>
          <a:off x="4133850" y="1190625"/>
          <a:ext cx="144000" cy="144000"/>
        </a:xfrm>
        <a:prstGeom prst="flowChartConnector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endParaRPr lang="de-CH" sz="10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506024</xdr:colOff>
      <xdr:row>6</xdr:row>
      <xdr:rowOff>1017188</xdr:rowOff>
    </xdr:from>
    <xdr:to>
      <xdr:col>7</xdr:col>
      <xdr:colOff>541499</xdr:colOff>
      <xdr:row>6</xdr:row>
      <xdr:rowOff>1701188</xdr:rowOff>
    </xdr:to>
    <xdr:sp macro="" textlink="' '!A510" fLocksText="0">
      <xdr:nvSpPr>
        <xdr:cNvPr id="88" name="Flussdiagramm: Verzweigung 87">
          <a:extLst>
            <a:ext uri="{FF2B5EF4-FFF2-40B4-BE49-F238E27FC236}">
              <a16:creationId xmlns:a16="http://schemas.microsoft.com/office/drawing/2014/main" id="{00000000-0008-0000-1700-000058000000}"/>
            </a:ext>
          </a:extLst>
        </xdr:cNvPr>
        <xdr:cNvSpPr>
          <a:spLocks/>
        </xdr:cNvSpPr>
      </xdr:nvSpPr>
      <xdr:spPr>
        <a:xfrm>
          <a:off x="6097199" y="7798988"/>
          <a:ext cx="1188000" cy="684000"/>
        </a:xfrm>
        <a:prstGeom prst="flowChartDecision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1DE2E32C-DAAB-4C93-A8D7-0F10DD2B9DDF}" type="TxLink">
            <a:rPr lang="en-US" sz="105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Q-Ziele ok?</a:t>
          </a:fld>
          <a:endParaRPr lang="de-CH" sz="105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403909</xdr:colOff>
      <xdr:row>6</xdr:row>
      <xdr:rowOff>1148702</xdr:rowOff>
    </xdr:from>
    <xdr:to>
      <xdr:col>7</xdr:col>
      <xdr:colOff>721112</xdr:colOff>
      <xdr:row>6</xdr:row>
      <xdr:rowOff>1292702</xdr:rowOff>
    </xdr:to>
    <xdr:sp macro="" textlink="' '!A521" fLocksText="0">
      <xdr:nvSpPr>
        <xdr:cNvPr id="89" name="Textfeld 88">
          <a:extLst>
            <a:ext uri="{FF2B5EF4-FFF2-40B4-BE49-F238E27FC236}">
              <a16:creationId xmlns:a16="http://schemas.microsoft.com/office/drawing/2014/main" id="{00000000-0008-0000-1700-000059000000}"/>
            </a:ext>
          </a:extLst>
        </xdr:cNvPr>
        <xdr:cNvSpPr txBox="1"/>
      </xdr:nvSpPr>
      <xdr:spPr>
        <a:xfrm>
          <a:off x="7147609" y="7930502"/>
          <a:ext cx="317203" cy="144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3AA0F304-286C-4102-BA6A-06FC0DA7B75E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ja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1101948</xdr:colOff>
      <xdr:row>6</xdr:row>
      <xdr:rowOff>1668514</xdr:rowOff>
    </xdr:from>
    <xdr:to>
      <xdr:col>7</xdr:col>
      <xdr:colOff>266626</xdr:colOff>
      <xdr:row>6</xdr:row>
      <xdr:rowOff>1881535</xdr:rowOff>
    </xdr:to>
    <xdr:sp macro="" textlink="' '!A522" fLocksText="0">
      <xdr:nvSpPr>
        <xdr:cNvPr id="90" name="Textfeld 89">
          <a:extLst>
            <a:ext uri="{FF2B5EF4-FFF2-40B4-BE49-F238E27FC236}">
              <a16:creationId xmlns:a16="http://schemas.microsoft.com/office/drawing/2014/main" id="{00000000-0008-0000-1700-00005A000000}"/>
            </a:ext>
          </a:extLst>
        </xdr:cNvPr>
        <xdr:cNvSpPr txBox="1"/>
      </xdr:nvSpPr>
      <xdr:spPr>
        <a:xfrm>
          <a:off x="6693123" y="8450314"/>
          <a:ext cx="317203" cy="2130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032723D0-99B3-4DBC-B4A2-5E5B11C9A63F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nein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318000</xdr:colOff>
      <xdr:row>6</xdr:row>
      <xdr:rowOff>1357950</xdr:rowOff>
    </xdr:from>
    <xdr:to>
      <xdr:col>6</xdr:col>
      <xdr:colOff>506024</xdr:colOff>
      <xdr:row>6</xdr:row>
      <xdr:rowOff>1359188</xdr:rowOff>
    </xdr:to>
    <xdr:cxnSp macro="">
      <xdr:nvCxnSpPr>
        <xdr:cNvPr id="91" name="Gerade Verbindung mit Pfeil 90">
          <a:extLst>
            <a:ext uri="{FF2B5EF4-FFF2-40B4-BE49-F238E27FC236}">
              <a16:creationId xmlns:a16="http://schemas.microsoft.com/office/drawing/2014/main" id="{00000000-0008-0000-1700-00005B000000}"/>
            </a:ext>
          </a:extLst>
        </xdr:cNvPr>
        <xdr:cNvCxnSpPr>
          <a:stCxn id="78" idx="3"/>
          <a:endCxn id="88" idx="1"/>
        </xdr:cNvCxnSpPr>
      </xdr:nvCxnSpPr>
      <xdr:spPr>
        <a:xfrm>
          <a:off x="4794750" y="8139750"/>
          <a:ext cx="1302449" cy="1238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595718</xdr:colOff>
      <xdr:row>6</xdr:row>
      <xdr:rowOff>1087950</xdr:rowOff>
    </xdr:from>
    <xdr:to>
      <xdr:col>2</xdr:col>
      <xdr:colOff>1675718</xdr:colOff>
      <xdr:row>6</xdr:row>
      <xdr:rowOff>1627950</xdr:rowOff>
    </xdr:to>
    <xdr:sp macro="" textlink="' '!A498" fLocksText="0">
      <xdr:nvSpPr>
        <xdr:cNvPr id="92" name="Flussdiagramm: Prozess 91">
          <a:extLst>
            <a:ext uri="{FF2B5EF4-FFF2-40B4-BE49-F238E27FC236}">
              <a16:creationId xmlns:a16="http://schemas.microsoft.com/office/drawing/2014/main" id="{00000000-0008-0000-1700-00005C000000}"/>
            </a:ext>
          </a:extLst>
        </xdr:cNvPr>
        <xdr:cNvSpPr>
          <a:spLocks/>
        </xdr:cNvSpPr>
      </xdr:nvSpPr>
      <xdr:spPr>
        <a:xfrm>
          <a:off x="1481543" y="7869750"/>
          <a:ext cx="1080000" cy="540000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C5362D32-8216-4192-A00C-AACD12F4C217}" type="TxLink">
            <a:rPr lang="en-US" sz="11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Q-Cockpit aktualisieren</a:t>
          </a:fld>
          <a:endParaRPr lang="en-US" sz="1100" b="0" i="0" u="none" strike="noStrike" baseline="0">
            <a:solidFill>
              <a:srgbClr val="000000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854325</xdr:colOff>
      <xdr:row>3</xdr:row>
      <xdr:rowOff>475337</xdr:rowOff>
    </xdr:from>
    <xdr:to>
      <xdr:col>3</xdr:col>
      <xdr:colOff>856337</xdr:colOff>
      <xdr:row>6</xdr:row>
      <xdr:rowOff>1087950</xdr:rowOff>
    </xdr:to>
    <xdr:cxnSp macro="">
      <xdr:nvCxnSpPr>
        <xdr:cNvPr id="93" name="Gerade Verbindung mit Pfeil 92">
          <a:extLst>
            <a:ext uri="{FF2B5EF4-FFF2-40B4-BE49-F238E27FC236}">
              <a16:creationId xmlns:a16="http://schemas.microsoft.com/office/drawing/2014/main" id="{00000000-0008-0000-1700-00005D000000}"/>
            </a:ext>
          </a:extLst>
        </xdr:cNvPr>
        <xdr:cNvCxnSpPr>
          <a:stCxn id="78" idx="0"/>
          <a:endCxn id="86" idx="5"/>
        </xdr:cNvCxnSpPr>
      </xdr:nvCxnSpPr>
      <xdr:spPr>
        <a:xfrm flipV="1">
          <a:off x="4254750" y="1313537"/>
          <a:ext cx="2012" cy="6556213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1675718</xdr:colOff>
      <xdr:row>6</xdr:row>
      <xdr:rowOff>1357950</xdr:rowOff>
    </xdr:from>
    <xdr:to>
      <xdr:col>3</xdr:col>
      <xdr:colOff>314325</xdr:colOff>
      <xdr:row>6</xdr:row>
      <xdr:rowOff>1357950</xdr:rowOff>
    </xdr:to>
    <xdr:cxnSp macro="">
      <xdr:nvCxnSpPr>
        <xdr:cNvPr id="94" name="Gerade Verbindung mit Pfeil 93">
          <a:extLst>
            <a:ext uri="{FF2B5EF4-FFF2-40B4-BE49-F238E27FC236}">
              <a16:creationId xmlns:a16="http://schemas.microsoft.com/office/drawing/2014/main" id="{00000000-0008-0000-1700-00005E000000}"/>
            </a:ext>
          </a:extLst>
        </xdr:cNvPr>
        <xdr:cNvCxnSpPr>
          <a:stCxn id="92" idx="3"/>
          <a:endCxn id="78" idx="1"/>
        </xdr:cNvCxnSpPr>
      </xdr:nvCxnSpPr>
      <xdr:spPr>
        <a:xfrm>
          <a:off x="2561543" y="8139750"/>
          <a:ext cx="1153207" cy="0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419101</xdr:colOff>
      <xdr:row>2</xdr:row>
      <xdr:rowOff>72867</xdr:rowOff>
    </xdr:from>
    <xdr:ext cx="1066800" cy="229221"/>
    <xdr:sp macro="" textlink="" fLocksText="0">
      <xdr:nvSpPr>
        <xdr:cNvPr id="95" name="Textfeld 94">
          <a:extLst>
            <a:ext uri="{FF2B5EF4-FFF2-40B4-BE49-F238E27FC236}">
              <a16:creationId xmlns:a16="http://schemas.microsoft.com/office/drawing/2014/main" id="{00000000-0008-0000-1700-00005F000000}"/>
            </a:ext>
          </a:extLst>
        </xdr:cNvPr>
        <xdr:cNvSpPr txBox="1">
          <a:spLocks/>
        </xdr:cNvSpPr>
      </xdr:nvSpPr>
      <xdr:spPr>
        <a:xfrm>
          <a:off x="12411076" y="796767"/>
          <a:ext cx="1066800" cy="2292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B5F25201-E136-473E-8E34-4D567696CD82}" type="TxLink">
            <a:rPr lang="en-US" sz="1000" b="0" i="0" u="none" strike="noStrike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 </a:t>
          </a:fld>
          <a:endParaRPr lang="de-CH" sz="10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12</xdr:col>
      <xdr:colOff>361950</xdr:colOff>
      <xdr:row>3</xdr:row>
      <xdr:rowOff>149509</xdr:rowOff>
    </xdr:from>
    <xdr:to>
      <xdr:col>14</xdr:col>
      <xdr:colOff>847724</xdr:colOff>
      <xdr:row>3</xdr:row>
      <xdr:rowOff>689509</xdr:rowOff>
    </xdr:to>
    <xdr:sp macro="" textlink="' '!A511" fLocksText="0">
      <xdr:nvSpPr>
        <xdr:cNvPr id="96" name="Flussdiagramm: Vordefinierter Prozess 95">
          <a:extLst>
            <a:ext uri="{FF2B5EF4-FFF2-40B4-BE49-F238E27FC236}">
              <a16:creationId xmlns:a16="http://schemas.microsoft.com/office/drawing/2014/main" id="{00000000-0008-0000-1700-000060000000}"/>
            </a:ext>
          </a:extLst>
        </xdr:cNvPr>
        <xdr:cNvSpPr/>
      </xdr:nvSpPr>
      <xdr:spPr>
        <a:xfrm>
          <a:off x="12353925" y="987709"/>
          <a:ext cx="1181099" cy="540000"/>
        </a:xfrm>
        <a:prstGeom prst="flowChartPredefinedProcess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4D8B818-8FDC-4389-B7C6-46889A0DA966}" type="TxLink">
            <a:rPr lang="en-US" sz="1000" b="0" i="0" u="none" strike="noStrike" baseline="0">
              <a:solidFill>
                <a:schemeClr val="accent3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Beurteilungs- &amp; Motivations-gespräch</a:t>
          </a:fld>
          <a:endParaRPr lang="de-CH" sz="1000" b="0" i="0" u="none" strike="noStrike" baseline="0">
            <a:solidFill>
              <a:schemeClr val="accent3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847724</xdr:colOff>
      <xdr:row>3</xdr:row>
      <xdr:rowOff>419509</xdr:rowOff>
    </xdr:from>
    <xdr:to>
      <xdr:col>14</xdr:col>
      <xdr:colOff>940696</xdr:colOff>
      <xdr:row>4</xdr:row>
      <xdr:rowOff>610311</xdr:rowOff>
    </xdr:to>
    <xdr:cxnSp macro="">
      <xdr:nvCxnSpPr>
        <xdr:cNvPr id="97" name="Gewinkelte Verbindung 96">
          <a:extLst>
            <a:ext uri="{FF2B5EF4-FFF2-40B4-BE49-F238E27FC236}">
              <a16:creationId xmlns:a16="http://schemas.microsoft.com/office/drawing/2014/main" id="{00000000-0008-0000-1700-000061000000}"/>
            </a:ext>
          </a:extLst>
        </xdr:cNvPr>
        <xdr:cNvCxnSpPr>
          <a:stCxn id="96" idx="3"/>
          <a:endCxn id="61" idx="0"/>
        </xdr:cNvCxnSpPr>
      </xdr:nvCxnSpPr>
      <xdr:spPr>
        <a:xfrm>
          <a:off x="13535024" y="1257709"/>
          <a:ext cx="92972" cy="2753027"/>
        </a:xfrm>
        <a:prstGeom prst="bentConnector2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537090</xdr:colOff>
      <xdr:row>5</xdr:row>
      <xdr:rowOff>784029</xdr:rowOff>
    </xdr:from>
    <xdr:to>
      <xdr:col>2</xdr:col>
      <xdr:colOff>1725090</xdr:colOff>
      <xdr:row>5</xdr:row>
      <xdr:rowOff>1468027</xdr:rowOff>
    </xdr:to>
    <xdr:sp macro="" textlink="' '!A485" fLocksText="0">
      <xdr:nvSpPr>
        <xdr:cNvPr id="99" name="Flussdiagramm: Verzweigung 98">
          <a:extLst>
            <a:ext uri="{FF2B5EF4-FFF2-40B4-BE49-F238E27FC236}">
              <a16:creationId xmlns:a16="http://schemas.microsoft.com/office/drawing/2014/main" id="{00000000-0008-0000-1700-000063000000}"/>
            </a:ext>
          </a:extLst>
        </xdr:cNvPr>
        <xdr:cNvSpPr>
          <a:spLocks/>
        </xdr:cNvSpPr>
      </xdr:nvSpPr>
      <xdr:spPr>
        <a:xfrm>
          <a:off x="1422915" y="5937054"/>
          <a:ext cx="1188000" cy="683998"/>
        </a:xfrm>
        <a:prstGeom prst="flowChartDecision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ADD7112D-746D-4746-98AE-78B8B284520F}" type="TxLink">
            <a:rPr lang="en-US" sz="105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Projekte aktuell?</a:t>
          </a:fld>
          <a:endParaRPr lang="de-CH" sz="105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290541</xdr:colOff>
      <xdr:row>5</xdr:row>
      <xdr:rowOff>953643</xdr:rowOff>
    </xdr:from>
    <xdr:to>
      <xdr:col>2</xdr:col>
      <xdr:colOff>607231</xdr:colOff>
      <xdr:row>5</xdr:row>
      <xdr:rowOff>1097643</xdr:rowOff>
    </xdr:to>
    <xdr:sp macro="" textlink="' '!A521" fLocksText="0">
      <xdr:nvSpPr>
        <xdr:cNvPr id="100" name="Textfeld 99">
          <a:extLst>
            <a:ext uri="{FF2B5EF4-FFF2-40B4-BE49-F238E27FC236}">
              <a16:creationId xmlns:a16="http://schemas.microsoft.com/office/drawing/2014/main" id="{00000000-0008-0000-1700-000064000000}"/>
            </a:ext>
          </a:extLst>
        </xdr:cNvPr>
        <xdr:cNvSpPr txBox="1"/>
      </xdr:nvSpPr>
      <xdr:spPr>
        <a:xfrm>
          <a:off x="1176366" y="6106668"/>
          <a:ext cx="316690" cy="144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D528668D-41F6-4126-BEA1-7A37281389A2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ja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1134557</xdr:colOff>
      <xdr:row>5</xdr:row>
      <xdr:rowOff>635672</xdr:rowOff>
    </xdr:from>
    <xdr:to>
      <xdr:col>2</xdr:col>
      <xdr:colOff>1451247</xdr:colOff>
      <xdr:row>5</xdr:row>
      <xdr:rowOff>848692</xdr:rowOff>
    </xdr:to>
    <xdr:sp macro="" textlink="' '!A522" fLocksText="0">
      <xdr:nvSpPr>
        <xdr:cNvPr id="101" name="Textfeld 100">
          <a:extLst>
            <a:ext uri="{FF2B5EF4-FFF2-40B4-BE49-F238E27FC236}">
              <a16:creationId xmlns:a16="http://schemas.microsoft.com/office/drawing/2014/main" id="{00000000-0008-0000-1700-000065000000}"/>
            </a:ext>
          </a:extLst>
        </xdr:cNvPr>
        <xdr:cNvSpPr txBox="1"/>
      </xdr:nvSpPr>
      <xdr:spPr>
        <a:xfrm>
          <a:off x="2020382" y="5788697"/>
          <a:ext cx="316690" cy="21302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E6504270-D54D-40E3-A5A5-E58ACC4A0708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nein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1131090</xdr:colOff>
      <xdr:row>5</xdr:row>
      <xdr:rowOff>560466</xdr:rowOff>
    </xdr:from>
    <xdr:to>
      <xdr:col>2</xdr:col>
      <xdr:colOff>1135718</xdr:colOff>
      <xdr:row>5</xdr:row>
      <xdr:rowOff>784032</xdr:rowOff>
    </xdr:to>
    <xdr:cxnSp macro="">
      <xdr:nvCxnSpPr>
        <xdr:cNvPr id="102" name="Gerade Verbindung mit Pfeil 101">
          <a:extLst>
            <a:ext uri="{FF2B5EF4-FFF2-40B4-BE49-F238E27FC236}">
              <a16:creationId xmlns:a16="http://schemas.microsoft.com/office/drawing/2014/main" id="{00000000-0008-0000-1700-000066000000}"/>
            </a:ext>
          </a:extLst>
        </xdr:cNvPr>
        <xdr:cNvCxnSpPr>
          <a:stCxn id="99" idx="0"/>
          <a:endCxn id="105" idx="2"/>
        </xdr:cNvCxnSpPr>
      </xdr:nvCxnSpPr>
      <xdr:spPr>
        <a:xfrm flipV="1">
          <a:off x="2016915" y="5713491"/>
          <a:ext cx="4628" cy="223566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290286</xdr:colOff>
      <xdr:row>3</xdr:row>
      <xdr:rowOff>786763</xdr:rowOff>
    </xdr:from>
    <xdr:to>
      <xdr:col>2</xdr:col>
      <xdr:colOff>537090</xdr:colOff>
      <xdr:row>5</xdr:row>
      <xdr:rowOff>1126032</xdr:rowOff>
    </xdr:to>
    <xdr:cxnSp macro="">
      <xdr:nvCxnSpPr>
        <xdr:cNvPr id="103" name="Gewinkelte Verbindung 102">
          <a:extLst>
            <a:ext uri="{FF2B5EF4-FFF2-40B4-BE49-F238E27FC236}">
              <a16:creationId xmlns:a16="http://schemas.microsoft.com/office/drawing/2014/main" id="{00000000-0008-0000-1700-000067000000}"/>
            </a:ext>
          </a:extLst>
        </xdr:cNvPr>
        <xdr:cNvCxnSpPr>
          <a:stCxn id="99" idx="1"/>
          <a:endCxn id="12" idx="1"/>
        </xdr:cNvCxnSpPr>
      </xdr:nvCxnSpPr>
      <xdr:spPr>
        <a:xfrm rot="10800000">
          <a:off x="1176111" y="1624963"/>
          <a:ext cx="246804" cy="4654094"/>
        </a:xfrm>
        <a:prstGeom prst="bentConnector3">
          <a:avLst>
            <a:gd name="adj1" fmla="val 192624"/>
          </a:avLst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1135718</xdr:colOff>
      <xdr:row>4</xdr:row>
      <xdr:rowOff>1012930</xdr:rowOff>
    </xdr:from>
    <xdr:to>
      <xdr:col>2</xdr:col>
      <xdr:colOff>1135718</xdr:colOff>
      <xdr:row>5</xdr:row>
      <xdr:rowOff>157781</xdr:rowOff>
    </xdr:to>
    <xdr:cxnSp macro="">
      <xdr:nvCxnSpPr>
        <xdr:cNvPr id="104" name="Gerade Verbindung mit Pfeil 103">
          <a:extLst>
            <a:ext uri="{FF2B5EF4-FFF2-40B4-BE49-F238E27FC236}">
              <a16:creationId xmlns:a16="http://schemas.microsoft.com/office/drawing/2014/main" id="{00000000-0008-0000-1700-000068000000}"/>
            </a:ext>
          </a:extLst>
        </xdr:cNvPr>
        <xdr:cNvCxnSpPr>
          <a:stCxn id="105" idx="0"/>
          <a:endCxn id="107" idx="2"/>
        </xdr:cNvCxnSpPr>
      </xdr:nvCxnSpPr>
      <xdr:spPr>
        <a:xfrm flipV="1">
          <a:off x="2021543" y="4413355"/>
          <a:ext cx="0" cy="897451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595718</xdr:colOff>
      <xdr:row>5</xdr:row>
      <xdr:rowOff>157781</xdr:rowOff>
    </xdr:from>
    <xdr:to>
      <xdr:col>2</xdr:col>
      <xdr:colOff>1675718</xdr:colOff>
      <xdr:row>5</xdr:row>
      <xdr:rowOff>560466</xdr:rowOff>
    </xdr:to>
    <xdr:sp macro="" textlink="' '!A484" fLocksText="0">
      <xdr:nvSpPr>
        <xdr:cNvPr id="105" name="Flussdiagramm: Prozess 104">
          <a:extLst>
            <a:ext uri="{FF2B5EF4-FFF2-40B4-BE49-F238E27FC236}">
              <a16:creationId xmlns:a16="http://schemas.microsoft.com/office/drawing/2014/main" id="{00000000-0008-0000-1700-000069000000}"/>
            </a:ext>
          </a:extLst>
        </xdr:cNvPr>
        <xdr:cNvSpPr>
          <a:spLocks noChangeAspect="1"/>
        </xdr:cNvSpPr>
      </xdr:nvSpPr>
      <xdr:spPr>
        <a:xfrm>
          <a:off x="1481543" y="5310806"/>
          <a:ext cx="1080000" cy="402685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BC356244-A85C-4791-A0B1-6756C3F10276}" type="TxLink">
            <a:rPr lang="en-US" sz="1100" b="0" i="0" u="none" strike="noStrike" baseline="0">
              <a:solidFill>
                <a:srgbClr val="000000"/>
              </a:solidFill>
              <a:latin typeface="Calibri"/>
            </a:rPr>
            <a:pPr algn="ctr"/>
            <a:t>Erinnerungsmail</a:t>
          </a:fld>
          <a:endParaRPr lang="en-US" sz="1000" baseline="0"/>
        </a:p>
      </xdr:txBody>
    </xdr:sp>
    <xdr:clientData/>
  </xdr:twoCellAnchor>
  <xdr:oneCellAnchor>
    <xdr:from>
      <xdr:col>2</xdr:col>
      <xdr:colOff>190913</xdr:colOff>
      <xdr:row>4</xdr:row>
      <xdr:rowOff>954400</xdr:rowOff>
    </xdr:from>
    <xdr:ext cx="828000" cy="395004"/>
    <xdr:sp macro="" textlink="' '!A486" fLocksText="0">
      <xdr:nvSpPr>
        <xdr:cNvPr id="106" name="Flussdiagramm: Dokument 10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6A000000}"/>
            </a:ext>
          </a:extLst>
        </xdr:cNvPr>
        <xdr:cNvSpPr>
          <a:spLocks/>
        </xdr:cNvSpPr>
      </xdr:nvSpPr>
      <xdr:spPr>
        <a:xfrm>
          <a:off x="1076738" y="4354825"/>
          <a:ext cx="828000" cy="395004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87951989-0614-4C1E-AA99-3616AC1F213A}" type="TxLink">
            <a:rPr lang="en-US" sz="1050" baseline="0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Projekt_?.exe</a:t>
          </a:fld>
          <a:endParaRPr lang="de-CH" sz="1050" baseline="0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2</xdr:col>
      <xdr:colOff>595718</xdr:colOff>
      <xdr:row>4</xdr:row>
      <xdr:rowOff>472930</xdr:rowOff>
    </xdr:from>
    <xdr:to>
      <xdr:col>2</xdr:col>
      <xdr:colOff>1675718</xdr:colOff>
      <xdr:row>4</xdr:row>
      <xdr:rowOff>1012930</xdr:rowOff>
    </xdr:to>
    <xdr:sp macro="" textlink="' '!A480" fLocksText="0">
      <xdr:nvSpPr>
        <xdr:cNvPr id="107" name="Flussdiagramm: Prozess 106">
          <a:extLst>
            <a:ext uri="{FF2B5EF4-FFF2-40B4-BE49-F238E27FC236}">
              <a16:creationId xmlns:a16="http://schemas.microsoft.com/office/drawing/2014/main" id="{00000000-0008-0000-1700-00006B000000}"/>
            </a:ext>
          </a:extLst>
        </xdr:cNvPr>
        <xdr:cNvSpPr>
          <a:spLocks/>
        </xdr:cNvSpPr>
      </xdr:nvSpPr>
      <xdr:spPr>
        <a:xfrm>
          <a:off x="1481543" y="3873355"/>
          <a:ext cx="1080000" cy="540000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9438BD6B-8ED5-42A8-A13C-843D703A0EA1}" type="TxLink">
            <a:rPr lang="en-US" sz="1100" b="0" i="0" u="none" strike="noStrike" baseline="0">
              <a:solidFill>
                <a:srgbClr val="000000"/>
              </a:solidFill>
              <a:latin typeface="Calibri"/>
            </a:rPr>
            <a:pPr algn="ctr"/>
            <a:t>Projekte aktualisieren</a:t>
          </a:fld>
          <a:endParaRPr lang="en-US" sz="1100" baseline="0"/>
        </a:p>
      </xdr:txBody>
    </xdr:sp>
    <xdr:clientData/>
  </xdr:twoCellAnchor>
  <xdr:twoCellAnchor>
    <xdr:from>
      <xdr:col>2</xdr:col>
      <xdr:colOff>1675718</xdr:colOff>
      <xdr:row>4</xdr:row>
      <xdr:rowOff>742930</xdr:rowOff>
    </xdr:from>
    <xdr:to>
      <xdr:col>2</xdr:col>
      <xdr:colOff>1725090</xdr:colOff>
      <xdr:row>5</xdr:row>
      <xdr:rowOff>1126032</xdr:rowOff>
    </xdr:to>
    <xdr:cxnSp macro="">
      <xdr:nvCxnSpPr>
        <xdr:cNvPr id="108" name="Gewinkelte Verbindung 107">
          <a:extLst>
            <a:ext uri="{FF2B5EF4-FFF2-40B4-BE49-F238E27FC236}">
              <a16:creationId xmlns:a16="http://schemas.microsoft.com/office/drawing/2014/main" id="{00000000-0008-0000-1700-00006C000000}"/>
            </a:ext>
          </a:extLst>
        </xdr:cNvPr>
        <xdr:cNvCxnSpPr>
          <a:stCxn id="107" idx="3"/>
          <a:endCxn id="99" idx="3"/>
        </xdr:cNvCxnSpPr>
      </xdr:nvCxnSpPr>
      <xdr:spPr>
        <a:xfrm>
          <a:off x="2561543" y="4143355"/>
          <a:ext cx="49372" cy="2135702"/>
        </a:xfrm>
        <a:prstGeom prst="bentConnector3">
          <a:avLst>
            <a:gd name="adj1" fmla="val 563015"/>
          </a:avLst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430746</xdr:colOff>
      <xdr:row>4</xdr:row>
      <xdr:rowOff>263367</xdr:rowOff>
    </xdr:from>
    <xdr:ext cx="1388529" cy="229221"/>
    <xdr:sp macro="" textlink="" fLocksText="0">
      <xdr:nvSpPr>
        <xdr:cNvPr id="109" name="Textfeld 108">
          <a:extLst>
            <a:ext uri="{FF2B5EF4-FFF2-40B4-BE49-F238E27FC236}">
              <a16:creationId xmlns:a16="http://schemas.microsoft.com/office/drawing/2014/main" id="{00000000-0008-0000-1700-00006D000000}"/>
            </a:ext>
          </a:extLst>
        </xdr:cNvPr>
        <xdr:cNvSpPr txBox="1">
          <a:spLocks/>
        </xdr:cNvSpPr>
      </xdr:nvSpPr>
      <xdr:spPr>
        <a:xfrm>
          <a:off x="1316571" y="3663792"/>
          <a:ext cx="1388529" cy="2292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D5DB911C-9B09-4DD5-9851-C149118DE915}" type="TxLink">
            <a:rPr lang="en-US" sz="1000" b="0" i="0" u="none" strike="noStrike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rPr>
            <a:pPr marL="0" indent="0" algn="ctr"/>
            <a:t> </a:t>
          </a:fld>
          <a:endParaRPr lang="de-CH" sz="10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14</xdr:col>
      <xdr:colOff>109311</xdr:colOff>
      <xdr:row>3</xdr:row>
      <xdr:rowOff>1421125</xdr:rowOff>
    </xdr:from>
    <xdr:ext cx="1080000" cy="493400"/>
    <xdr:sp macro="" textlink="' '!A512" fLocksText="0">
      <xdr:nvSpPr>
        <xdr:cNvPr id="110" name="Flussdiagramm: Dokument 10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6E000000}"/>
            </a:ext>
          </a:extLst>
        </xdr:cNvPr>
        <xdr:cNvSpPr>
          <a:spLocks/>
        </xdr:cNvSpPr>
      </xdr:nvSpPr>
      <xdr:spPr>
        <a:xfrm>
          <a:off x="12796611" y="2259325"/>
          <a:ext cx="1080000" cy="493400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78746861-CE29-4BB9-A87F-87238B4EDC71}" type="TxLink">
            <a:rPr lang="en-US" sz="1100" baseline="0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Zielvereinbarung</a:t>
          </a:fld>
          <a:endParaRPr lang="de-CH" sz="1100" baseline="0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7</xdr:col>
      <xdr:colOff>838197</xdr:colOff>
      <xdr:row>6</xdr:row>
      <xdr:rowOff>1019175</xdr:rowOff>
    </xdr:from>
    <xdr:to>
      <xdr:col>8</xdr:col>
      <xdr:colOff>873672</xdr:colOff>
      <xdr:row>6</xdr:row>
      <xdr:rowOff>1703174</xdr:rowOff>
    </xdr:to>
    <xdr:sp macro="" textlink="' '!A513" fLocksText="0">
      <xdr:nvSpPr>
        <xdr:cNvPr id="112" name="Flussdiagramm: Verzweigung 111">
          <a:extLst>
            <a:ext uri="{FF2B5EF4-FFF2-40B4-BE49-F238E27FC236}">
              <a16:creationId xmlns:a16="http://schemas.microsoft.com/office/drawing/2014/main" id="{00000000-0008-0000-1700-000070000000}"/>
            </a:ext>
          </a:extLst>
        </xdr:cNvPr>
        <xdr:cNvSpPr>
          <a:spLocks/>
        </xdr:cNvSpPr>
      </xdr:nvSpPr>
      <xdr:spPr>
        <a:xfrm>
          <a:off x="7581897" y="7800975"/>
          <a:ext cx="1188000" cy="683999"/>
        </a:xfrm>
        <a:prstGeom prst="flowChartDecision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7746C161-153A-4F9F-A4B7-C2649DB4DE18}" type="TxLink">
            <a:rPr lang="en-US" sz="105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Q-Projekte ok?</a:t>
          </a:fld>
          <a:endParaRPr lang="de-CH" sz="105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736082</xdr:colOff>
      <xdr:row>6</xdr:row>
      <xdr:rowOff>1169738</xdr:rowOff>
    </xdr:from>
    <xdr:to>
      <xdr:col>8</xdr:col>
      <xdr:colOff>1053285</xdr:colOff>
      <xdr:row>6</xdr:row>
      <xdr:rowOff>1313738</xdr:rowOff>
    </xdr:to>
    <xdr:sp macro="" textlink="' '!A521" fLocksText="0">
      <xdr:nvSpPr>
        <xdr:cNvPr id="113" name="Textfeld 112">
          <a:extLst>
            <a:ext uri="{FF2B5EF4-FFF2-40B4-BE49-F238E27FC236}">
              <a16:creationId xmlns:a16="http://schemas.microsoft.com/office/drawing/2014/main" id="{00000000-0008-0000-1700-000071000000}"/>
            </a:ext>
          </a:extLst>
        </xdr:cNvPr>
        <xdr:cNvSpPr txBox="1"/>
      </xdr:nvSpPr>
      <xdr:spPr>
        <a:xfrm>
          <a:off x="8632307" y="7951538"/>
          <a:ext cx="317203" cy="144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2F5216F5-D424-4C25-9F3B-6030E291C3DE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ja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300646</xdr:colOff>
      <xdr:row>6</xdr:row>
      <xdr:rowOff>822775</xdr:rowOff>
    </xdr:from>
    <xdr:to>
      <xdr:col>8</xdr:col>
      <xdr:colOff>617849</xdr:colOff>
      <xdr:row>6</xdr:row>
      <xdr:rowOff>1035796</xdr:rowOff>
    </xdr:to>
    <xdr:sp macro="" textlink="' '!A522" fLocksText="0">
      <xdr:nvSpPr>
        <xdr:cNvPr id="114" name="Textfeld 113">
          <a:extLst>
            <a:ext uri="{FF2B5EF4-FFF2-40B4-BE49-F238E27FC236}">
              <a16:creationId xmlns:a16="http://schemas.microsoft.com/office/drawing/2014/main" id="{00000000-0008-0000-1700-000072000000}"/>
            </a:ext>
          </a:extLst>
        </xdr:cNvPr>
        <xdr:cNvSpPr txBox="1"/>
      </xdr:nvSpPr>
      <xdr:spPr>
        <a:xfrm>
          <a:off x="8196871" y="7604575"/>
          <a:ext cx="317203" cy="2130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7787B028-8AF6-4439-9819-A6CB83062D68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nein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405426</xdr:colOff>
      <xdr:row>6</xdr:row>
      <xdr:rowOff>170116</xdr:rowOff>
    </xdr:from>
    <xdr:to>
      <xdr:col>10</xdr:col>
      <xdr:colOff>312195</xdr:colOff>
      <xdr:row>6</xdr:row>
      <xdr:rowOff>710116</xdr:rowOff>
    </xdr:to>
    <xdr:sp macro="" textlink="' '!A482" fLocksText="0">
      <xdr:nvSpPr>
        <xdr:cNvPr id="115" name="Flussdiagramm: Prozess 114">
          <a:extLst>
            <a:ext uri="{FF2B5EF4-FFF2-40B4-BE49-F238E27FC236}">
              <a16:creationId xmlns:a16="http://schemas.microsoft.com/office/drawing/2014/main" id="{00000000-0008-0000-1700-000073000000}"/>
            </a:ext>
          </a:extLst>
        </xdr:cNvPr>
        <xdr:cNvSpPr>
          <a:spLocks/>
        </xdr:cNvSpPr>
      </xdr:nvSpPr>
      <xdr:spPr>
        <a:xfrm>
          <a:off x="9520851" y="6951916"/>
          <a:ext cx="1078344" cy="540000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28B820CD-DABF-4C9B-9190-E1BB093CDF3F}" type="TxLink">
            <a:rPr lang="en-US" sz="1100" b="0" i="0" u="none" strike="noStrike" baseline="0">
              <a:solidFill>
                <a:srgbClr val="000000"/>
              </a:solidFill>
              <a:latin typeface="Calibri"/>
            </a:rPr>
            <a:pPr algn="ctr"/>
            <a:t>Korrektur-massnahmen</a:t>
          </a:fld>
          <a:endParaRPr lang="en-US" sz="1050" baseline="0"/>
        </a:p>
      </xdr:txBody>
    </xdr:sp>
    <xdr:clientData/>
  </xdr:twoCellAnchor>
  <xdr:twoCellAnchor editAs="absolute">
    <xdr:from>
      <xdr:col>6</xdr:col>
      <xdr:colOff>267462</xdr:colOff>
      <xdr:row>3</xdr:row>
      <xdr:rowOff>1067297</xdr:rowOff>
    </xdr:from>
    <xdr:to>
      <xdr:col>7</xdr:col>
      <xdr:colOff>302937</xdr:colOff>
      <xdr:row>3</xdr:row>
      <xdr:rowOff>1751297</xdr:rowOff>
    </xdr:to>
    <xdr:sp macro="" textlink="' '!A473" fLocksText="0">
      <xdr:nvSpPr>
        <xdr:cNvPr id="117" name="Flussdiagramm: Verzweigung 116">
          <a:extLst>
            <a:ext uri="{FF2B5EF4-FFF2-40B4-BE49-F238E27FC236}">
              <a16:creationId xmlns:a16="http://schemas.microsoft.com/office/drawing/2014/main" id="{00000000-0008-0000-1700-000075000000}"/>
            </a:ext>
          </a:extLst>
        </xdr:cNvPr>
        <xdr:cNvSpPr>
          <a:spLocks/>
        </xdr:cNvSpPr>
      </xdr:nvSpPr>
      <xdr:spPr>
        <a:xfrm>
          <a:off x="6096762" y="2238872"/>
          <a:ext cx="1188000" cy="684000"/>
        </a:xfrm>
        <a:prstGeom prst="flowChartDecision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68B90BF1-B49D-4E91-92FB-E2FD99F90856}" type="TxLink">
            <a:rPr lang="en-US" sz="105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Q-Cockpit ok?</a:t>
          </a:fld>
          <a:endParaRPr lang="de-CH" sz="105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6</xdr:col>
      <xdr:colOff>805699</xdr:colOff>
      <xdr:row>3</xdr:row>
      <xdr:rowOff>1733018</xdr:rowOff>
    </xdr:from>
    <xdr:to>
      <xdr:col>6</xdr:col>
      <xdr:colOff>1123208</xdr:colOff>
      <xdr:row>3</xdr:row>
      <xdr:rowOff>1924051</xdr:rowOff>
    </xdr:to>
    <xdr:sp macro="" textlink="' '!A521" fLocksText="0">
      <xdr:nvSpPr>
        <xdr:cNvPr id="118" name="Textfeld 117">
          <a:extLst>
            <a:ext uri="{FF2B5EF4-FFF2-40B4-BE49-F238E27FC236}">
              <a16:creationId xmlns:a16="http://schemas.microsoft.com/office/drawing/2014/main" id="{00000000-0008-0000-1700-000076000000}"/>
            </a:ext>
          </a:extLst>
        </xdr:cNvPr>
        <xdr:cNvSpPr txBox="1"/>
      </xdr:nvSpPr>
      <xdr:spPr>
        <a:xfrm>
          <a:off x="6634999" y="2904593"/>
          <a:ext cx="317509" cy="191033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73145360-6419-48C5-9E91-6A4FEBC886BE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ja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6</xdr:col>
      <xdr:colOff>5485</xdr:colOff>
      <xdr:row>3</xdr:row>
      <xdr:rowOff>1216621</xdr:rowOff>
    </xdr:from>
    <xdr:to>
      <xdr:col>6</xdr:col>
      <xdr:colOff>322994</xdr:colOff>
      <xdr:row>3</xdr:row>
      <xdr:rowOff>1419228</xdr:rowOff>
    </xdr:to>
    <xdr:sp macro="" textlink="' '!A522" fLocksText="0">
      <xdr:nvSpPr>
        <xdr:cNvPr id="119" name="Textfeld 118">
          <a:extLst>
            <a:ext uri="{FF2B5EF4-FFF2-40B4-BE49-F238E27FC236}">
              <a16:creationId xmlns:a16="http://schemas.microsoft.com/office/drawing/2014/main" id="{00000000-0008-0000-1700-000077000000}"/>
            </a:ext>
          </a:extLst>
        </xdr:cNvPr>
        <xdr:cNvSpPr txBox="1"/>
      </xdr:nvSpPr>
      <xdr:spPr>
        <a:xfrm>
          <a:off x="5834785" y="2388196"/>
          <a:ext cx="317509" cy="202607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3D076CF3-58FA-4CD8-AE02-340D6F2DB0C4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nein</a:t>
          </a:fld>
          <a:endParaRPr lang="de-CH" sz="900" baseline="0">
            <a:solidFill>
              <a:schemeClr val="bg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1099587</xdr:colOff>
      <xdr:row>3</xdr:row>
      <xdr:rowOff>2084672</xdr:rowOff>
    </xdr:from>
    <xdr:to>
      <xdr:col>6</xdr:col>
      <xdr:colOff>1100024</xdr:colOff>
      <xdr:row>6</xdr:row>
      <xdr:rowOff>1017188</xdr:rowOff>
    </xdr:to>
    <xdr:cxnSp macro="">
      <xdr:nvCxnSpPr>
        <xdr:cNvPr id="120" name="Gerade Verbindung mit Pfeil 119">
          <a:extLst>
            <a:ext uri="{FF2B5EF4-FFF2-40B4-BE49-F238E27FC236}">
              <a16:creationId xmlns:a16="http://schemas.microsoft.com/office/drawing/2014/main" id="{00000000-0008-0000-1700-000078000000}"/>
            </a:ext>
          </a:extLst>
        </xdr:cNvPr>
        <xdr:cNvCxnSpPr>
          <a:stCxn id="117" idx="2"/>
          <a:endCxn id="88" idx="0"/>
        </xdr:cNvCxnSpPr>
      </xdr:nvCxnSpPr>
      <xdr:spPr>
        <a:xfrm>
          <a:off x="6690762" y="2922872"/>
          <a:ext cx="437" cy="4876116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312195</xdr:colOff>
      <xdr:row>4</xdr:row>
      <xdr:rowOff>733405</xdr:rowOff>
    </xdr:from>
    <xdr:to>
      <xdr:col>10</xdr:col>
      <xdr:colOff>698223</xdr:colOff>
      <xdr:row>4</xdr:row>
      <xdr:rowOff>733407</xdr:rowOff>
    </xdr:to>
    <xdr:cxnSp macro="">
      <xdr:nvCxnSpPr>
        <xdr:cNvPr id="121" name="Gerade Verbindung mit Pfeil 120">
          <a:extLst>
            <a:ext uri="{FF2B5EF4-FFF2-40B4-BE49-F238E27FC236}">
              <a16:creationId xmlns:a16="http://schemas.microsoft.com/office/drawing/2014/main" id="{00000000-0008-0000-1700-000079000000}"/>
            </a:ext>
          </a:extLst>
        </xdr:cNvPr>
        <xdr:cNvCxnSpPr>
          <a:stCxn id="75" idx="3"/>
          <a:endCxn id="76" idx="1"/>
        </xdr:cNvCxnSpPr>
      </xdr:nvCxnSpPr>
      <xdr:spPr>
        <a:xfrm flipV="1">
          <a:off x="10599195" y="4133830"/>
          <a:ext cx="386028" cy="2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279673</xdr:colOff>
      <xdr:row>6</xdr:row>
      <xdr:rowOff>440116</xdr:rowOff>
    </xdr:from>
    <xdr:to>
      <xdr:col>9</xdr:col>
      <xdr:colOff>405427</xdr:colOff>
      <xdr:row>6</xdr:row>
      <xdr:rowOff>1019175</xdr:rowOff>
    </xdr:to>
    <xdr:cxnSp macro="">
      <xdr:nvCxnSpPr>
        <xdr:cNvPr id="122" name="Gewinkelte Verbindung 121">
          <a:extLst>
            <a:ext uri="{FF2B5EF4-FFF2-40B4-BE49-F238E27FC236}">
              <a16:creationId xmlns:a16="http://schemas.microsoft.com/office/drawing/2014/main" id="{00000000-0008-0000-1700-00007A000000}"/>
            </a:ext>
          </a:extLst>
        </xdr:cNvPr>
        <xdr:cNvCxnSpPr>
          <a:stCxn id="112" idx="0"/>
          <a:endCxn id="115" idx="1"/>
        </xdr:cNvCxnSpPr>
      </xdr:nvCxnSpPr>
      <xdr:spPr>
        <a:xfrm rot="5400000" flipH="1" flipV="1">
          <a:off x="8558845" y="6838969"/>
          <a:ext cx="579059" cy="1344954"/>
        </a:xfrm>
        <a:prstGeom prst="bentConnector2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501900</xdr:colOff>
      <xdr:row>6</xdr:row>
      <xdr:rowOff>1701188</xdr:rowOff>
    </xdr:from>
    <xdr:to>
      <xdr:col>6</xdr:col>
      <xdr:colOff>1100024</xdr:colOff>
      <xdr:row>6</xdr:row>
      <xdr:rowOff>1873644</xdr:rowOff>
    </xdr:to>
    <xdr:cxnSp macro="">
      <xdr:nvCxnSpPr>
        <xdr:cNvPr id="123" name="Gewinkelte Verbindung 122">
          <a:extLst>
            <a:ext uri="{FF2B5EF4-FFF2-40B4-BE49-F238E27FC236}">
              <a16:creationId xmlns:a16="http://schemas.microsoft.com/office/drawing/2014/main" id="{00000000-0008-0000-1700-00007B000000}"/>
            </a:ext>
          </a:extLst>
        </xdr:cNvPr>
        <xdr:cNvCxnSpPr>
          <a:stCxn id="88" idx="2"/>
          <a:endCxn id="7" idx="2"/>
        </xdr:cNvCxnSpPr>
      </xdr:nvCxnSpPr>
      <xdr:spPr>
        <a:xfrm rot="5400000">
          <a:off x="5210534" y="7174779"/>
          <a:ext cx="172456" cy="2788874"/>
        </a:xfrm>
        <a:prstGeom prst="bentConnector3">
          <a:avLst>
            <a:gd name="adj1" fmla="val 205900"/>
          </a:avLst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1578595</xdr:colOff>
      <xdr:row>3</xdr:row>
      <xdr:rowOff>760692</xdr:rowOff>
    </xdr:from>
    <xdr:to>
      <xdr:col>3</xdr:col>
      <xdr:colOff>97813</xdr:colOff>
      <xdr:row>3</xdr:row>
      <xdr:rowOff>1014706</xdr:rowOff>
    </xdr:to>
    <xdr:cxnSp macro="">
      <xdr:nvCxnSpPr>
        <xdr:cNvPr id="124" name="Gewinkelte Verbindung 123">
          <a:extLst>
            <a:ext uri="{FF2B5EF4-FFF2-40B4-BE49-F238E27FC236}">
              <a16:creationId xmlns:a16="http://schemas.microsoft.com/office/drawing/2014/main" id="{00000000-0008-0000-1700-00007C000000}"/>
            </a:ext>
          </a:extLst>
        </xdr:cNvPr>
        <xdr:cNvCxnSpPr>
          <a:stCxn id="17" idx="2"/>
          <a:endCxn id="11" idx="3"/>
        </xdr:cNvCxnSpPr>
      </xdr:nvCxnSpPr>
      <xdr:spPr>
        <a:xfrm rot="5400000">
          <a:off x="2854322" y="1208990"/>
          <a:ext cx="254014" cy="1033818"/>
        </a:xfrm>
        <a:prstGeom prst="bentConnector2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1744803</xdr:colOff>
      <xdr:row>3</xdr:row>
      <xdr:rowOff>807534</xdr:rowOff>
    </xdr:from>
    <xdr:ext cx="798372" cy="229221"/>
    <xdr:sp macro="" textlink="' '!A487" fLocksText="0">
      <xdr:nvSpPr>
        <xdr:cNvPr id="125" name="Textfeld 124">
          <a:extLst>
            <a:ext uri="{FF2B5EF4-FFF2-40B4-BE49-F238E27FC236}">
              <a16:creationId xmlns:a16="http://schemas.microsoft.com/office/drawing/2014/main" id="{00000000-0008-0000-1700-00007D000000}"/>
            </a:ext>
          </a:extLst>
        </xdr:cNvPr>
        <xdr:cNvSpPr txBox="1">
          <a:spLocks/>
        </xdr:cNvSpPr>
      </xdr:nvSpPr>
      <xdr:spPr>
        <a:xfrm>
          <a:off x="2630628" y="1645734"/>
          <a:ext cx="798372" cy="2292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1B481E38-0A73-4F0B-9049-7C88E754822C}" type="TxLink">
            <a:rPr lang="en-US" sz="10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aktualisieren</a:t>
          </a:fld>
          <a:endParaRPr lang="de-CH" sz="1000" b="0" i="0" u="none" strike="noStrike" baseline="0">
            <a:solidFill>
              <a:schemeClr val="bg1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oneCellAnchor>
  <xdr:twoCellAnchor>
    <xdr:from>
      <xdr:col>6</xdr:col>
      <xdr:colOff>55837</xdr:colOff>
      <xdr:row>3</xdr:row>
      <xdr:rowOff>758211</xdr:rowOff>
    </xdr:from>
    <xdr:to>
      <xdr:col>6</xdr:col>
      <xdr:colOff>1094282</xdr:colOff>
      <xdr:row>3</xdr:row>
      <xdr:rowOff>834388</xdr:rowOff>
    </xdr:to>
    <xdr:cxnSp macro="">
      <xdr:nvCxnSpPr>
        <xdr:cNvPr id="126" name="Gewinkelte Verbindung 125">
          <a:extLst>
            <a:ext uri="{FF2B5EF4-FFF2-40B4-BE49-F238E27FC236}">
              <a16:creationId xmlns:a16="http://schemas.microsoft.com/office/drawing/2014/main" id="{00000000-0008-0000-1700-00007E000000}"/>
            </a:ext>
          </a:extLst>
        </xdr:cNvPr>
        <xdr:cNvCxnSpPr>
          <a:stCxn id="38" idx="2"/>
          <a:endCxn id="8" idx="3"/>
        </xdr:cNvCxnSpPr>
      </xdr:nvCxnSpPr>
      <xdr:spPr>
        <a:xfrm rot="5400000">
          <a:off x="6128146" y="1115277"/>
          <a:ext cx="76177" cy="1038445"/>
        </a:xfrm>
        <a:prstGeom prst="bentConnector2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154128</xdr:colOff>
      <xdr:row>3</xdr:row>
      <xdr:rowOff>798009</xdr:rowOff>
    </xdr:from>
    <xdr:ext cx="798372" cy="229221"/>
    <xdr:sp macro="" textlink="" fLocksText="0">
      <xdr:nvSpPr>
        <xdr:cNvPr id="127" name="Textfeld 126">
          <a:extLst>
            <a:ext uri="{FF2B5EF4-FFF2-40B4-BE49-F238E27FC236}">
              <a16:creationId xmlns:a16="http://schemas.microsoft.com/office/drawing/2014/main" id="{00000000-0008-0000-1700-00007F000000}"/>
            </a:ext>
          </a:extLst>
        </xdr:cNvPr>
        <xdr:cNvSpPr txBox="1">
          <a:spLocks/>
        </xdr:cNvSpPr>
      </xdr:nvSpPr>
      <xdr:spPr>
        <a:xfrm>
          <a:off x="5745303" y="1636209"/>
          <a:ext cx="798372" cy="2292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773AC95E-DC7E-433F-9B5B-B223C15855DC}" type="TxLink">
            <a:rPr lang="en-US" sz="10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 </a:t>
          </a:fld>
          <a:endParaRPr lang="de-CH" sz="1000" b="0" i="0" u="none" strike="noStrike" baseline="0">
            <a:solidFill>
              <a:schemeClr val="bg1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oneCellAnchor>
  <xdr:twoCellAnchor>
    <xdr:from>
      <xdr:col>6</xdr:col>
      <xdr:colOff>1028700</xdr:colOff>
      <xdr:row>3</xdr:row>
      <xdr:rowOff>781050</xdr:rowOff>
    </xdr:from>
    <xdr:to>
      <xdr:col>7</xdr:col>
      <xdr:colOff>20175</xdr:colOff>
      <xdr:row>3</xdr:row>
      <xdr:rowOff>925050</xdr:rowOff>
    </xdr:to>
    <xdr:sp macro="" textlink="">
      <xdr:nvSpPr>
        <xdr:cNvPr id="128" name="Flussdiagramm: Verbindungsstelle 127">
          <a:extLst>
            <a:ext uri="{FF2B5EF4-FFF2-40B4-BE49-F238E27FC236}">
              <a16:creationId xmlns:a16="http://schemas.microsoft.com/office/drawing/2014/main" id="{00000000-0008-0000-1700-000080000000}"/>
            </a:ext>
          </a:extLst>
        </xdr:cNvPr>
        <xdr:cNvSpPr>
          <a:spLocks noChangeAspect="1"/>
        </xdr:cNvSpPr>
      </xdr:nvSpPr>
      <xdr:spPr>
        <a:xfrm>
          <a:off x="6619875" y="1619250"/>
          <a:ext cx="144000" cy="144000"/>
        </a:xfrm>
        <a:prstGeom prst="flowChartConnector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endParaRPr lang="de-CH" sz="10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707746</xdr:colOff>
      <xdr:row>3</xdr:row>
      <xdr:rowOff>1435385</xdr:rowOff>
    </xdr:from>
    <xdr:to>
      <xdr:col>12</xdr:col>
      <xdr:colOff>82771</xdr:colOff>
      <xdr:row>3</xdr:row>
      <xdr:rowOff>1974558</xdr:rowOff>
    </xdr:to>
    <xdr:sp macro="" textlink="' '!A476" fLocksText="0">
      <xdr:nvSpPr>
        <xdr:cNvPr id="129" name="Flussdiagramm: Prozess 128">
          <a:extLst>
            <a:ext uri="{FF2B5EF4-FFF2-40B4-BE49-F238E27FC236}">
              <a16:creationId xmlns:a16="http://schemas.microsoft.com/office/drawing/2014/main" id="{00000000-0008-0000-1700-000081000000}"/>
            </a:ext>
          </a:extLst>
        </xdr:cNvPr>
        <xdr:cNvSpPr>
          <a:spLocks noChangeAspect="1"/>
        </xdr:cNvSpPr>
      </xdr:nvSpPr>
      <xdr:spPr>
        <a:xfrm>
          <a:off x="10994746" y="2273585"/>
          <a:ext cx="1080000" cy="539173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1558F58C-6B8A-4387-B568-BDE824271682}" type="TxLink">
            <a:rPr lang="en-US" sz="1100" b="0" i="0" u="none" strike="noStrike" baseline="0">
              <a:solidFill>
                <a:srgbClr val="000000"/>
              </a:solidFill>
              <a:latin typeface="Calibri"/>
            </a:rPr>
            <a:pPr algn="ctr"/>
            <a:t>Projektaufträge vergeben</a:t>
          </a:fld>
          <a:endParaRPr lang="en-US" sz="1000" baseline="0"/>
        </a:p>
      </xdr:txBody>
    </xdr:sp>
    <xdr:clientData/>
  </xdr:twoCellAnchor>
  <xdr:twoCellAnchor>
    <xdr:from>
      <xdr:col>10</xdr:col>
      <xdr:colOff>648898</xdr:colOff>
      <xdr:row>3</xdr:row>
      <xdr:rowOff>74213</xdr:rowOff>
    </xdr:from>
    <xdr:to>
      <xdr:col>12</xdr:col>
      <xdr:colOff>131923</xdr:colOff>
      <xdr:row>3</xdr:row>
      <xdr:rowOff>758212</xdr:rowOff>
    </xdr:to>
    <xdr:sp macro="" textlink="' '!A515" fLocksText="0">
      <xdr:nvSpPr>
        <xdr:cNvPr id="131" name="Flussdiagramm: Verzweigung 130">
          <a:extLst>
            <a:ext uri="{FF2B5EF4-FFF2-40B4-BE49-F238E27FC236}">
              <a16:creationId xmlns:a16="http://schemas.microsoft.com/office/drawing/2014/main" id="{00000000-0008-0000-1700-000083000000}"/>
            </a:ext>
          </a:extLst>
        </xdr:cNvPr>
        <xdr:cNvSpPr>
          <a:spLocks/>
        </xdr:cNvSpPr>
      </xdr:nvSpPr>
      <xdr:spPr>
        <a:xfrm>
          <a:off x="10935898" y="912413"/>
          <a:ext cx="1188000" cy="683999"/>
        </a:xfrm>
        <a:prstGeom prst="flowChartDecision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55EEC4BD-BF71-415C-BFF1-503B4C2FA5E6}" type="TxLink">
            <a:rPr lang="en-US" sz="10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Neue Projekte?</a:t>
          </a:fld>
          <a:endParaRPr lang="de-CH" sz="10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22908</xdr:colOff>
      <xdr:row>3</xdr:row>
      <xdr:rowOff>177152</xdr:rowOff>
    </xdr:from>
    <xdr:to>
      <xdr:col>12</xdr:col>
      <xdr:colOff>340111</xdr:colOff>
      <xdr:row>3</xdr:row>
      <xdr:rowOff>321152</xdr:rowOff>
    </xdr:to>
    <xdr:sp macro="" textlink="' '!A522" fLocksText="0">
      <xdr:nvSpPr>
        <xdr:cNvPr id="132" name="Textfeld 131">
          <a:extLst>
            <a:ext uri="{FF2B5EF4-FFF2-40B4-BE49-F238E27FC236}">
              <a16:creationId xmlns:a16="http://schemas.microsoft.com/office/drawing/2014/main" id="{00000000-0008-0000-1700-000084000000}"/>
            </a:ext>
          </a:extLst>
        </xdr:cNvPr>
        <xdr:cNvSpPr txBox="1"/>
      </xdr:nvSpPr>
      <xdr:spPr>
        <a:xfrm>
          <a:off x="12014883" y="1015352"/>
          <a:ext cx="317203" cy="144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74D7BE72-93A4-441A-B025-3946D43766EA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nein</a:t>
          </a:fld>
          <a:endParaRPr lang="de-CH" sz="900" b="0" i="0" u="none" strike="noStrike" baseline="0">
            <a:solidFill>
              <a:schemeClr val="bg1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387571</xdr:colOff>
      <xdr:row>3</xdr:row>
      <xdr:rowOff>735063</xdr:rowOff>
    </xdr:from>
    <xdr:to>
      <xdr:col>11</xdr:col>
      <xdr:colOff>704774</xdr:colOff>
      <xdr:row>3</xdr:row>
      <xdr:rowOff>948084</xdr:rowOff>
    </xdr:to>
    <xdr:sp macro="" textlink="' '!A521" fLocksText="0">
      <xdr:nvSpPr>
        <xdr:cNvPr id="133" name="Textfeld 132">
          <a:extLst>
            <a:ext uri="{FF2B5EF4-FFF2-40B4-BE49-F238E27FC236}">
              <a16:creationId xmlns:a16="http://schemas.microsoft.com/office/drawing/2014/main" id="{00000000-0008-0000-1700-000085000000}"/>
            </a:ext>
          </a:extLst>
        </xdr:cNvPr>
        <xdr:cNvSpPr txBox="1"/>
      </xdr:nvSpPr>
      <xdr:spPr>
        <a:xfrm>
          <a:off x="11503246" y="1573263"/>
          <a:ext cx="317203" cy="2130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1EC7000A-D004-4DAC-B761-A4FB5252B2E0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ja</a:t>
          </a:fld>
          <a:endParaRPr lang="de-CH" sz="900" b="0" i="0" u="none" strike="noStrike" baseline="0">
            <a:solidFill>
              <a:schemeClr val="bg1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409548</xdr:colOff>
      <xdr:row>3</xdr:row>
      <xdr:rowOff>1974558</xdr:rowOff>
    </xdr:from>
    <xdr:to>
      <xdr:col>11</xdr:col>
      <xdr:colOff>419071</xdr:colOff>
      <xdr:row>4</xdr:row>
      <xdr:rowOff>463405</xdr:rowOff>
    </xdr:to>
    <xdr:cxnSp macro="">
      <xdr:nvCxnSpPr>
        <xdr:cNvPr id="134" name="Gerade Verbindung mit Pfeil 133">
          <a:extLst>
            <a:ext uri="{FF2B5EF4-FFF2-40B4-BE49-F238E27FC236}">
              <a16:creationId xmlns:a16="http://schemas.microsoft.com/office/drawing/2014/main" id="{00000000-0008-0000-1700-000086000000}"/>
            </a:ext>
          </a:extLst>
        </xdr:cNvPr>
        <xdr:cNvCxnSpPr>
          <a:stCxn id="129" idx="2"/>
          <a:endCxn id="76" idx="0"/>
        </xdr:cNvCxnSpPr>
      </xdr:nvCxnSpPr>
      <xdr:spPr>
        <a:xfrm flipH="1">
          <a:off x="11525223" y="2812758"/>
          <a:ext cx="9523" cy="1051072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131923</xdr:colOff>
      <xdr:row>3</xdr:row>
      <xdr:rowOff>416213</xdr:rowOff>
    </xdr:from>
    <xdr:to>
      <xdr:col>12</xdr:col>
      <xdr:colOff>361950</xdr:colOff>
      <xdr:row>3</xdr:row>
      <xdr:rowOff>419509</xdr:rowOff>
    </xdr:to>
    <xdr:cxnSp macro="">
      <xdr:nvCxnSpPr>
        <xdr:cNvPr id="135" name="Gerade Verbindung mit Pfeil 134">
          <a:extLst>
            <a:ext uri="{FF2B5EF4-FFF2-40B4-BE49-F238E27FC236}">
              <a16:creationId xmlns:a16="http://schemas.microsoft.com/office/drawing/2014/main" id="{00000000-0008-0000-1700-000087000000}"/>
            </a:ext>
          </a:extLst>
        </xdr:cNvPr>
        <xdr:cNvCxnSpPr>
          <a:stCxn id="131" idx="3"/>
          <a:endCxn id="96" idx="1"/>
        </xdr:cNvCxnSpPr>
      </xdr:nvCxnSpPr>
      <xdr:spPr>
        <a:xfrm>
          <a:off x="12123898" y="1254413"/>
          <a:ext cx="230027" cy="329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73248</xdr:colOff>
      <xdr:row>4</xdr:row>
      <xdr:rowOff>733405</xdr:rowOff>
    </xdr:from>
    <xdr:to>
      <xdr:col>14</xdr:col>
      <xdr:colOff>688696</xdr:colOff>
      <xdr:row>4</xdr:row>
      <xdr:rowOff>736311</xdr:rowOff>
    </xdr:to>
    <xdr:cxnSp macro="">
      <xdr:nvCxnSpPr>
        <xdr:cNvPr id="136" name="Gerade Verbindung mit Pfeil 135">
          <a:extLst>
            <a:ext uri="{FF2B5EF4-FFF2-40B4-BE49-F238E27FC236}">
              <a16:creationId xmlns:a16="http://schemas.microsoft.com/office/drawing/2014/main" id="{00000000-0008-0000-1700-000088000000}"/>
            </a:ext>
          </a:extLst>
        </xdr:cNvPr>
        <xdr:cNvCxnSpPr>
          <a:stCxn id="76" idx="3"/>
          <a:endCxn id="61" idx="1"/>
        </xdr:cNvCxnSpPr>
      </xdr:nvCxnSpPr>
      <xdr:spPr>
        <a:xfrm>
          <a:off x="12065223" y="4133830"/>
          <a:ext cx="1310773" cy="2906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658421</xdr:colOff>
      <xdr:row>6</xdr:row>
      <xdr:rowOff>1019175</xdr:rowOff>
    </xdr:from>
    <xdr:to>
      <xdr:col>12</xdr:col>
      <xdr:colOff>141445</xdr:colOff>
      <xdr:row>6</xdr:row>
      <xdr:rowOff>1703175</xdr:rowOff>
    </xdr:to>
    <xdr:sp macro="" textlink="' '!A515" fLocksText="0">
      <xdr:nvSpPr>
        <xdr:cNvPr id="138" name="Flussdiagramm: Verzweigung 137">
          <a:extLst>
            <a:ext uri="{FF2B5EF4-FFF2-40B4-BE49-F238E27FC236}">
              <a16:creationId xmlns:a16="http://schemas.microsoft.com/office/drawing/2014/main" id="{00000000-0008-0000-1700-00008A000000}"/>
            </a:ext>
          </a:extLst>
        </xdr:cNvPr>
        <xdr:cNvSpPr>
          <a:spLocks/>
        </xdr:cNvSpPr>
      </xdr:nvSpPr>
      <xdr:spPr>
        <a:xfrm>
          <a:off x="10945421" y="7800975"/>
          <a:ext cx="1187999" cy="684000"/>
        </a:xfrm>
        <a:prstGeom prst="flowChartDecision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31EDBC1F-3C7B-4132-A782-DF71C4829AF2}" type="TxLink">
            <a:rPr lang="en-US" sz="105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Neue Projekte?</a:t>
          </a:fld>
          <a:endParaRPr lang="de-CH" sz="105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89582</xdr:colOff>
      <xdr:row>6</xdr:row>
      <xdr:rowOff>1141165</xdr:rowOff>
    </xdr:from>
    <xdr:to>
      <xdr:col>12</xdr:col>
      <xdr:colOff>406785</xdr:colOff>
      <xdr:row>6</xdr:row>
      <xdr:rowOff>1285165</xdr:rowOff>
    </xdr:to>
    <xdr:sp macro="" textlink="' '!A522" fLocksText="0">
      <xdr:nvSpPr>
        <xdr:cNvPr id="139" name="Textfeld 138">
          <a:extLst>
            <a:ext uri="{FF2B5EF4-FFF2-40B4-BE49-F238E27FC236}">
              <a16:creationId xmlns:a16="http://schemas.microsoft.com/office/drawing/2014/main" id="{00000000-0008-0000-1700-00008B000000}"/>
            </a:ext>
          </a:extLst>
        </xdr:cNvPr>
        <xdr:cNvSpPr txBox="1"/>
      </xdr:nvSpPr>
      <xdr:spPr>
        <a:xfrm>
          <a:off x="12081557" y="7922965"/>
          <a:ext cx="317203" cy="144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C45F6E6B-771B-42AD-9F55-3152F7F2C902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nein</a:t>
          </a:fld>
          <a:endParaRPr lang="de-CH" sz="900" b="0" i="0" u="none" strike="noStrike" baseline="0">
            <a:solidFill>
              <a:schemeClr val="bg1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139919</xdr:colOff>
      <xdr:row>6</xdr:row>
      <xdr:rowOff>813250</xdr:rowOff>
    </xdr:from>
    <xdr:to>
      <xdr:col>11</xdr:col>
      <xdr:colOff>457122</xdr:colOff>
      <xdr:row>6</xdr:row>
      <xdr:rowOff>1026271</xdr:rowOff>
    </xdr:to>
    <xdr:sp macro="" textlink="' '!A521" fLocksText="0">
      <xdr:nvSpPr>
        <xdr:cNvPr id="140" name="Textfeld 139">
          <a:extLst>
            <a:ext uri="{FF2B5EF4-FFF2-40B4-BE49-F238E27FC236}">
              <a16:creationId xmlns:a16="http://schemas.microsoft.com/office/drawing/2014/main" id="{00000000-0008-0000-1700-00008C000000}"/>
            </a:ext>
          </a:extLst>
        </xdr:cNvPr>
        <xdr:cNvSpPr txBox="1"/>
      </xdr:nvSpPr>
      <xdr:spPr>
        <a:xfrm>
          <a:off x="11255594" y="7595050"/>
          <a:ext cx="317203" cy="213021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35859FA6-A27F-4B77-8093-681BBAC06C2D}" type="TxLink">
            <a:rPr lang="en-US" sz="900" b="0" i="0" u="none" strike="noStrike" baseline="0">
              <a:solidFill>
                <a:schemeClr val="bg1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ja</a:t>
          </a:fld>
          <a:endParaRPr lang="de-CH" sz="900" b="0" i="0" u="none" strike="noStrike" baseline="0">
            <a:solidFill>
              <a:schemeClr val="bg1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943770</xdr:colOff>
      <xdr:row>4</xdr:row>
      <xdr:rowOff>1003407</xdr:rowOff>
    </xdr:from>
    <xdr:to>
      <xdr:col>9</xdr:col>
      <xdr:colOff>944598</xdr:colOff>
      <xdr:row>6</xdr:row>
      <xdr:rowOff>170116</xdr:rowOff>
    </xdr:to>
    <xdr:cxnSp macro="">
      <xdr:nvCxnSpPr>
        <xdr:cNvPr id="141" name="Gerade Verbindung mit Pfeil 140">
          <a:extLst>
            <a:ext uri="{FF2B5EF4-FFF2-40B4-BE49-F238E27FC236}">
              <a16:creationId xmlns:a16="http://schemas.microsoft.com/office/drawing/2014/main" id="{00000000-0008-0000-1700-00008D000000}"/>
            </a:ext>
          </a:extLst>
        </xdr:cNvPr>
        <xdr:cNvCxnSpPr>
          <a:stCxn id="115" idx="0"/>
          <a:endCxn id="75" idx="2"/>
        </xdr:cNvCxnSpPr>
      </xdr:nvCxnSpPr>
      <xdr:spPr>
        <a:xfrm flipH="1" flipV="1">
          <a:off x="10059195" y="4403832"/>
          <a:ext cx="828" cy="2548084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873672</xdr:colOff>
      <xdr:row>6</xdr:row>
      <xdr:rowOff>1361175</xdr:rowOff>
    </xdr:from>
    <xdr:to>
      <xdr:col>10</xdr:col>
      <xdr:colOff>658423</xdr:colOff>
      <xdr:row>6</xdr:row>
      <xdr:rowOff>1361175</xdr:rowOff>
    </xdr:to>
    <xdr:cxnSp macro="">
      <xdr:nvCxnSpPr>
        <xdr:cNvPr id="142" name="Gerade Verbindung mit Pfeil 141">
          <a:extLst>
            <a:ext uri="{FF2B5EF4-FFF2-40B4-BE49-F238E27FC236}">
              <a16:creationId xmlns:a16="http://schemas.microsoft.com/office/drawing/2014/main" id="{00000000-0008-0000-1700-00008E000000}"/>
            </a:ext>
          </a:extLst>
        </xdr:cNvPr>
        <xdr:cNvCxnSpPr>
          <a:stCxn id="112" idx="3"/>
          <a:endCxn id="138" idx="1"/>
        </xdr:cNvCxnSpPr>
      </xdr:nvCxnSpPr>
      <xdr:spPr>
        <a:xfrm>
          <a:off x="8769897" y="8142975"/>
          <a:ext cx="2175526" cy="0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409548</xdr:colOff>
      <xdr:row>4</xdr:row>
      <xdr:rowOff>1003405</xdr:rowOff>
    </xdr:from>
    <xdr:to>
      <xdr:col>11</xdr:col>
      <xdr:colOff>419071</xdr:colOff>
      <xdr:row>6</xdr:row>
      <xdr:rowOff>178085</xdr:rowOff>
    </xdr:to>
    <xdr:cxnSp macro="">
      <xdr:nvCxnSpPr>
        <xdr:cNvPr id="143" name="Gerade Verbindung mit Pfeil 142">
          <a:extLst>
            <a:ext uri="{FF2B5EF4-FFF2-40B4-BE49-F238E27FC236}">
              <a16:creationId xmlns:a16="http://schemas.microsoft.com/office/drawing/2014/main" id="{00000000-0008-0000-1700-00008F000000}"/>
            </a:ext>
          </a:extLst>
        </xdr:cNvPr>
        <xdr:cNvCxnSpPr>
          <a:stCxn id="146" idx="0"/>
          <a:endCxn id="76" idx="2"/>
        </xdr:cNvCxnSpPr>
      </xdr:nvCxnSpPr>
      <xdr:spPr>
        <a:xfrm flipH="1" flipV="1">
          <a:off x="11525223" y="4403830"/>
          <a:ext cx="9523" cy="2556055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714788</xdr:colOff>
      <xdr:row>6</xdr:row>
      <xdr:rowOff>697225</xdr:rowOff>
    </xdr:from>
    <xdr:ext cx="828000" cy="395004"/>
    <xdr:sp macro="" textlink="" fLocksText="0">
      <xdr:nvSpPr>
        <xdr:cNvPr id="144" name="Flussdiagramm: Dokument 143">
          <a:extLst>
            <a:ext uri="{FF2B5EF4-FFF2-40B4-BE49-F238E27FC236}">
              <a16:creationId xmlns:a16="http://schemas.microsoft.com/office/drawing/2014/main" id="{00000000-0008-0000-1700-000090000000}"/>
            </a:ext>
          </a:extLst>
        </xdr:cNvPr>
        <xdr:cNvSpPr>
          <a:spLocks/>
        </xdr:cNvSpPr>
      </xdr:nvSpPr>
      <xdr:spPr>
        <a:xfrm>
          <a:off x="11830463" y="7479025"/>
          <a:ext cx="828000" cy="395004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endParaRPr lang="en-US" sz="1100" b="0" i="0" u="none" strike="noStrike" baseline="0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11</xdr:col>
      <xdr:colOff>657638</xdr:colOff>
      <xdr:row>6</xdr:row>
      <xdr:rowOff>630550</xdr:rowOff>
    </xdr:from>
    <xdr:ext cx="828000" cy="395004"/>
    <xdr:sp macro="" textlink="' '!A504" fLocksText="0">
      <xdr:nvSpPr>
        <xdr:cNvPr id="145" name="Flussdiagramm: Dokument 14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700-000091000000}"/>
            </a:ext>
          </a:extLst>
        </xdr:cNvPr>
        <xdr:cNvSpPr>
          <a:spLocks/>
        </xdr:cNvSpPr>
      </xdr:nvSpPr>
      <xdr:spPr>
        <a:xfrm>
          <a:off x="11773313" y="7412350"/>
          <a:ext cx="828000" cy="395004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B26ED48D-70F5-4DA8-99B8-6ADCCB3BF1AB}" type="TxLink">
            <a:rPr lang="en-US" sz="1100" baseline="0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Aufträge</a:t>
          </a:fld>
          <a:endParaRPr lang="de-CH" sz="1100" baseline="0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10</xdr:col>
      <xdr:colOff>707746</xdr:colOff>
      <xdr:row>6</xdr:row>
      <xdr:rowOff>178085</xdr:rowOff>
    </xdr:from>
    <xdr:to>
      <xdr:col>12</xdr:col>
      <xdr:colOff>82771</xdr:colOff>
      <xdr:row>6</xdr:row>
      <xdr:rowOff>717258</xdr:rowOff>
    </xdr:to>
    <xdr:sp macro="" textlink="' '!A476" fLocksText="0">
      <xdr:nvSpPr>
        <xdr:cNvPr id="146" name="Flussdiagramm: Prozess 145">
          <a:extLst>
            <a:ext uri="{FF2B5EF4-FFF2-40B4-BE49-F238E27FC236}">
              <a16:creationId xmlns:a16="http://schemas.microsoft.com/office/drawing/2014/main" id="{00000000-0008-0000-1700-000092000000}"/>
            </a:ext>
          </a:extLst>
        </xdr:cNvPr>
        <xdr:cNvSpPr>
          <a:spLocks noChangeAspect="1"/>
        </xdr:cNvSpPr>
      </xdr:nvSpPr>
      <xdr:spPr>
        <a:xfrm>
          <a:off x="10994746" y="6959885"/>
          <a:ext cx="1080000" cy="539173"/>
        </a:xfrm>
        <a:prstGeom prst="flowChartProcess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fld id="{531ACE91-1C52-46F3-ADB5-7EA801D743E2}" type="TxLink">
            <a:rPr lang="en-US" sz="1100" b="0" i="0" u="none" strike="noStrike" baseline="0">
              <a:solidFill>
                <a:srgbClr val="000000"/>
              </a:solidFill>
              <a:latin typeface="Calibri"/>
            </a:rPr>
            <a:pPr algn="ctr"/>
            <a:t>Projektaufträge vergeben</a:t>
          </a:fld>
          <a:endParaRPr lang="en-US" sz="1000" baseline="0"/>
        </a:p>
      </xdr:txBody>
    </xdr:sp>
    <xdr:clientData/>
  </xdr:twoCellAnchor>
  <xdr:twoCellAnchor>
    <xdr:from>
      <xdr:col>11</xdr:col>
      <xdr:colOff>419071</xdr:colOff>
      <xdr:row>6</xdr:row>
      <xdr:rowOff>717258</xdr:rowOff>
    </xdr:from>
    <xdr:to>
      <xdr:col>11</xdr:col>
      <xdr:colOff>423748</xdr:colOff>
      <xdr:row>6</xdr:row>
      <xdr:rowOff>1019175</xdr:rowOff>
    </xdr:to>
    <xdr:cxnSp macro="">
      <xdr:nvCxnSpPr>
        <xdr:cNvPr id="147" name="Gerade Verbindung mit Pfeil 146">
          <a:extLst>
            <a:ext uri="{FF2B5EF4-FFF2-40B4-BE49-F238E27FC236}">
              <a16:creationId xmlns:a16="http://schemas.microsoft.com/office/drawing/2014/main" id="{00000000-0008-0000-1700-000093000000}"/>
            </a:ext>
          </a:extLst>
        </xdr:cNvPr>
        <xdr:cNvCxnSpPr>
          <a:stCxn id="138" idx="0"/>
          <a:endCxn id="146" idx="2"/>
        </xdr:cNvCxnSpPr>
      </xdr:nvCxnSpPr>
      <xdr:spPr>
        <a:xfrm flipH="1" flipV="1">
          <a:off x="11534746" y="7499058"/>
          <a:ext cx="4677" cy="301917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141445</xdr:colOff>
      <xdr:row>4</xdr:row>
      <xdr:rowOff>862311</xdr:rowOff>
    </xdr:from>
    <xdr:to>
      <xdr:col>14</xdr:col>
      <xdr:colOff>940696</xdr:colOff>
      <xdr:row>6</xdr:row>
      <xdr:rowOff>1361175</xdr:rowOff>
    </xdr:to>
    <xdr:cxnSp macro="">
      <xdr:nvCxnSpPr>
        <xdr:cNvPr id="148" name="Gewinkelte Verbindung 147">
          <a:extLst>
            <a:ext uri="{FF2B5EF4-FFF2-40B4-BE49-F238E27FC236}">
              <a16:creationId xmlns:a16="http://schemas.microsoft.com/office/drawing/2014/main" id="{00000000-0008-0000-1700-000094000000}"/>
            </a:ext>
          </a:extLst>
        </xdr:cNvPr>
        <xdr:cNvCxnSpPr>
          <a:stCxn id="138" idx="3"/>
          <a:endCxn id="61" idx="2"/>
        </xdr:cNvCxnSpPr>
      </xdr:nvCxnSpPr>
      <xdr:spPr>
        <a:xfrm flipV="1">
          <a:off x="12133420" y="4262736"/>
          <a:ext cx="1494576" cy="3880239"/>
        </a:xfrm>
        <a:prstGeom prst="bentConnector2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1060173</xdr:colOff>
      <xdr:row>3</xdr:row>
      <xdr:rowOff>1263504</xdr:rowOff>
    </xdr:from>
    <xdr:to>
      <xdr:col>8</xdr:col>
      <xdr:colOff>1131648</xdr:colOff>
      <xdr:row>3</xdr:row>
      <xdr:rowOff>1803504</xdr:rowOff>
    </xdr:to>
    <xdr:sp macro="" textlink="' '!A519" fLocksText="0">
      <xdr:nvSpPr>
        <xdr:cNvPr id="149" name="Flussdiagramm: Vordefinierter Prozess 148">
          <a:extLst>
            <a:ext uri="{FF2B5EF4-FFF2-40B4-BE49-F238E27FC236}">
              <a16:creationId xmlns:a16="http://schemas.microsoft.com/office/drawing/2014/main" id="{00000000-0008-0000-1700-000095000000}"/>
            </a:ext>
          </a:extLst>
        </xdr:cNvPr>
        <xdr:cNvSpPr/>
      </xdr:nvSpPr>
      <xdr:spPr>
        <a:xfrm>
          <a:off x="8041998" y="2101704"/>
          <a:ext cx="1224000" cy="540000"/>
        </a:xfrm>
        <a:prstGeom prst="flowChartPredefinedProcess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9DB1EF5F-DF73-486C-AC71-406C5F9584FC}" type="TxLink">
            <a:rPr lang="en-US" sz="1050" b="0" i="0" u="none" strike="noStrike" baseline="0">
              <a:solidFill>
                <a:schemeClr val="accent3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Kontinuierliche Verbesserung</a:t>
          </a:fld>
          <a:endParaRPr lang="de-CH" sz="1050" b="0" i="0" u="none" strike="noStrike" baseline="0">
            <a:solidFill>
              <a:schemeClr val="accent3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28575</xdr:colOff>
      <xdr:row>3</xdr:row>
      <xdr:rowOff>942975</xdr:rowOff>
    </xdr:from>
    <xdr:to>
      <xdr:col>3</xdr:col>
      <xdr:colOff>172575</xdr:colOff>
      <xdr:row>3</xdr:row>
      <xdr:rowOff>1086975</xdr:rowOff>
    </xdr:to>
    <xdr:sp macro="" textlink="">
      <xdr:nvSpPr>
        <xdr:cNvPr id="150" name="Flussdiagramm: Verbindungsstelle 149">
          <a:extLst>
            <a:ext uri="{FF2B5EF4-FFF2-40B4-BE49-F238E27FC236}">
              <a16:creationId xmlns:a16="http://schemas.microsoft.com/office/drawing/2014/main" id="{00000000-0008-0000-1700-000096000000}"/>
            </a:ext>
          </a:extLst>
        </xdr:cNvPr>
        <xdr:cNvSpPr>
          <a:spLocks noChangeAspect="1"/>
        </xdr:cNvSpPr>
      </xdr:nvSpPr>
      <xdr:spPr>
        <a:xfrm>
          <a:off x="3429000" y="1781175"/>
          <a:ext cx="144000" cy="144000"/>
        </a:xfrm>
        <a:prstGeom prst="flowChartConnector">
          <a:avLst/>
        </a:prstGeom>
        <a:solidFill>
          <a:schemeClr val="bg1">
            <a:lumMod val="85000"/>
          </a:schemeClr>
        </a:solidFill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endParaRPr lang="de-CH" sz="10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519648</xdr:colOff>
      <xdr:row>3</xdr:row>
      <xdr:rowOff>689509</xdr:rowOff>
    </xdr:from>
    <xdr:to>
      <xdr:col>8</xdr:col>
      <xdr:colOff>523848</xdr:colOff>
      <xdr:row>3</xdr:row>
      <xdr:rowOff>1263504</xdr:rowOff>
    </xdr:to>
    <xdr:cxnSp macro="">
      <xdr:nvCxnSpPr>
        <xdr:cNvPr id="151" name="Gerade Verbindung mit Pfeil 150">
          <a:extLst>
            <a:ext uri="{FF2B5EF4-FFF2-40B4-BE49-F238E27FC236}">
              <a16:creationId xmlns:a16="http://schemas.microsoft.com/office/drawing/2014/main" id="{00000000-0008-0000-1700-000097000000}"/>
            </a:ext>
          </a:extLst>
        </xdr:cNvPr>
        <xdr:cNvCxnSpPr>
          <a:stCxn id="153" idx="2"/>
          <a:endCxn id="149" idx="0"/>
        </xdr:cNvCxnSpPr>
      </xdr:nvCxnSpPr>
      <xdr:spPr>
        <a:xfrm flipH="1">
          <a:off x="8653998" y="1527709"/>
          <a:ext cx="4200" cy="573995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804636</xdr:colOff>
      <xdr:row>3</xdr:row>
      <xdr:rowOff>659125</xdr:rowOff>
    </xdr:from>
    <xdr:ext cx="957489" cy="312425"/>
    <xdr:sp macro="" textlink="" fLocksText="0">
      <xdr:nvSpPr>
        <xdr:cNvPr id="152" name="Flussdiagramm: Dokument 15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98000000}"/>
            </a:ext>
          </a:extLst>
        </xdr:cNvPr>
        <xdr:cNvSpPr>
          <a:spLocks/>
        </xdr:cNvSpPr>
      </xdr:nvSpPr>
      <xdr:spPr>
        <a:xfrm>
          <a:off x="7548336" y="1497325"/>
          <a:ext cx="957489" cy="312425"/>
        </a:xfrm>
        <a:prstGeom prst="flowChartDocumen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de-CH" sz="1100" baseline="0">
              <a:solidFill>
                <a:schemeClr val="tx2"/>
              </a:solidFill>
              <a:latin typeface="+mn-lt"/>
              <a:ea typeface="+mn-ea"/>
              <a:cs typeface="+mn-cs"/>
            </a:rPr>
            <a:t>01_Cockpit.exe</a:t>
          </a:r>
        </a:p>
      </xdr:txBody>
    </xdr:sp>
    <xdr:clientData/>
  </xdr:oneCellAnchor>
  <xdr:twoCellAnchor>
    <xdr:from>
      <xdr:col>7</xdr:col>
      <xdr:colOff>1136373</xdr:colOff>
      <xdr:row>3</xdr:row>
      <xdr:rowOff>149509</xdr:rowOff>
    </xdr:from>
    <xdr:to>
      <xdr:col>8</xdr:col>
      <xdr:colOff>1063848</xdr:colOff>
      <xdr:row>3</xdr:row>
      <xdr:rowOff>689509</xdr:rowOff>
    </xdr:to>
    <xdr:sp macro="" textlink="' '!A477" fLocksText="0">
      <xdr:nvSpPr>
        <xdr:cNvPr id="153" name="Flussdiagramm: Vordefinierter Prozess 152">
          <a:extLst>
            <a:ext uri="{FF2B5EF4-FFF2-40B4-BE49-F238E27FC236}">
              <a16:creationId xmlns:a16="http://schemas.microsoft.com/office/drawing/2014/main" id="{00000000-0008-0000-1700-000099000000}"/>
            </a:ext>
          </a:extLst>
        </xdr:cNvPr>
        <xdr:cNvSpPr/>
      </xdr:nvSpPr>
      <xdr:spPr>
        <a:xfrm>
          <a:off x="7880073" y="987709"/>
          <a:ext cx="1080000" cy="540000"/>
        </a:xfrm>
        <a:prstGeom prst="flowChartPredefinedProcess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CE08F3B8-AEEE-4BAD-88FD-620920FC44A5}" type="TxLink">
            <a:rPr lang="en-US" sz="1050" b="0" i="0" u="none" strike="noStrike" baseline="0">
              <a:solidFill>
                <a:schemeClr val="accent3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Direktions-sitzung</a:t>
          </a:fld>
          <a:endParaRPr lang="de-CH" sz="1050" b="0" i="0" u="none" strike="noStrike" baseline="0">
            <a:solidFill>
              <a:schemeClr val="accent3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76199</xdr:colOff>
      <xdr:row>3</xdr:row>
      <xdr:rowOff>114300</xdr:rowOff>
    </xdr:from>
    <xdr:to>
      <xdr:col>0</xdr:col>
      <xdr:colOff>688199</xdr:colOff>
      <xdr:row>3</xdr:row>
      <xdr:rowOff>771675</xdr:rowOff>
    </xdr:to>
    <xdr:grpSp>
      <xdr:nvGrpSpPr>
        <xdr:cNvPr id="87" name="Gruppieren 86">
          <a:extLst>
            <a:ext uri="{FF2B5EF4-FFF2-40B4-BE49-F238E27FC236}">
              <a16:creationId xmlns:a16="http://schemas.microsoft.com/office/drawing/2014/main" id="{00000000-0008-0000-1700-000057000000}"/>
            </a:ext>
          </a:extLst>
        </xdr:cNvPr>
        <xdr:cNvGrpSpPr/>
      </xdr:nvGrpSpPr>
      <xdr:grpSpPr>
        <a:xfrm>
          <a:off x="76199" y="1287780"/>
          <a:ext cx="612000" cy="657375"/>
          <a:chOff x="76199" y="952500"/>
          <a:chExt cx="612000" cy="657375"/>
        </a:xfrm>
      </xdr:grpSpPr>
      <xdr:grpSp>
        <xdr:nvGrpSpPr>
          <xdr:cNvPr id="154" name="Gruppieren 153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1700-00009A000000}"/>
              </a:ext>
            </a:extLst>
          </xdr:cNvPr>
          <xdr:cNvGrpSpPr/>
        </xdr:nvGrpSpPr>
        <xdr:grpSpPr>
          <a:xfrm>
            <a:off x="76199" y="952500"/>
            <a:ext cx="324000" cy="325465"/>
            <a:chOff x="12020550" y="2171700"/>
            <a:chExt cx="324000" cy="325465"/>
          </a:xfrm>
        </xdr:grpSpPr>
        <xdr:sp macro="" textlink="">
          <xdr:nvSpPr>
            <xdr:cNvPr id="155" name="Rechteck 154">
              <a:extLst>
                <a:ext uri="{FF2B5EF4-FFF2-40B4-BE49-F238E27FC236}">
                  <a16:creationId xmlns:a16="http://schemas.microsoft.com/office/drawing/2014/main" id="{00000000-0008-0000-1700-00009B000000}"/>
                </a:ext>
              </a:extLst>
            </xdr:cNvPr>
            <xdr:cNvSpPr>
              <a:spLocks noChangeAspect="1"/>
            </xdr:cNvSpPr>
          </xdr:nvSpPr>
          <xdr:spPr>
            <a:xfrm>
              <a:off x="12020550" y="2171700"/>
              <a:ext cx="324000" cy="325465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56" name="Pfeil nach rechts 155">
              <a:extLst>
                <a:ext uri="{FF2B5EF4-FFF2-40B4-BE49-F238E27FC236}">
                  <a16:creationId xmlns:a16="http://schemas.microsoft.com/office/drawing/2014/main" id="{00000000-0008-0000-1700-00009C000000}"/>
                </a:ext>
              </a:extLst>
            </xdr:cNvPr>
            <xdr:cNvSpPr/>
          </xdr:nvSpPr>
          <xdr:spPr>
            <a:xfrm>
              <a:off x="12115800" y="2247900"/>
              <a:ext cx="162000" cy="180000"/>
            </a:xfrm>
            <a:prstGeom prst="rightArrow">
              <a:avLst/>
            </a:prstGeom>
            <a:solidFill>
              <a:schemeClr val="bg1"/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l"/>
              <a:endParaRPr lang="de-CH" sz="1100" baseline="0">
                <a:solidFill>
                  <a:schemeClr val="dk1"/>
                </a:solidFill>
                <a:latin typeface="+mn-lt"/>
                <a:ea typeface="+mn-ea"/>
                <a:cs typeface="+mn-cs"/>
              </a:endParaRPr>
            </a:p>
          </xdr:txBody>
        </xdr:sp>
      </xdr:grpSp>
      <xdr:sp macro="" textlink="' '!A525">
        <xdr:nvSpPr>
          <xdr:cNvPr id="157" name="Textfeld 156">
            <a:extLst>
              <a:ext uri="{FF2B5EF4-FFF2-40B4-BE49-F238E27FC236}">
                <a16:creationId xmlns:a16="http://schemas.microsoft.com/office/drawing/2014/main" id="{00000000-0008-0000-1700-00009D000000}"/>
              </a:ext>
            </a:extLst>
          </xdr:cNvPr>
          <xdr:cNvSpPr txBox="1"/>
        </xdr:nvSpPr>
        <xdr:spPr>
          <a:xfrm>
            <a:off x="76199" y="1285875"/>
            <a:ext cx="612000" cy="3240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noAutofit/>
          </a:bodyPr>
          <a:lstStyle/>
          <a:p>
            <a:pPr algn="l"/>
            <a:fld id="{018AD98D-06E1-4593-A3B7-9E71E599441B}" type="TxLink">
              <a:rPr lang="en-US" sz="900" b="0" i="0" u="none" strike="noStrike">
                <a:solidFill>
                  <a:srgbClr val="000000"/>
                </a:solidFill>
                <a:latin typeface="Calibri"/>
              </a:rPr>
              <a:pPr algn="l"/>
              <a:t>Pareto</a:t>
            </a:fld>
            <a:endParaRPr lang="de-CH" sz="900" b="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0</xdr:col>
      <xdr:colOff>76199</xdr:colOff>
      <xdr:row>3</xdr:row>
      <xdr:rowOff>820341</xdr:rowOff>
    </xdr:from>
    <xdr:to>
      <xdr:col>0</xdr:col>
      <xdr:colOff>688199</xdr:colOff>
      <xdr:row>3</xdr:row>
      <xdr:rowOff>1477716</xdr:rowOff>
    </xdr:to>
    <xdr:grpSp>
      <xdr:nvGrpSpPr>
        <xdr:cNvPr id="84" name="Gruppieren 83">
          <a:extLst>
            <a:ext uri="{FF2B5EF4-FFF2-40B4-BE49-F238E27FC236}">
              <a16:creationId xmlns:a16="http://schemas.microsoft.com/office/drawing/2014/main" id="{00000000-0008-0000-1700-000054000000}"/>
            </a:ext>
          </a:extLst>
        </xdr:cNvPr>
        <xdr:cNvGrpSpPr/>
      </xdr:nvGrpSpPr>
      <xdr:grpSpPr>
        <a:xfrm>
          <a:off x="76199" y="1993821"/>
          <a:ext cx="612000" cy="657375"/>
          <a:chOff x="76199" y="1517650"/>
          <a:chExt cx="612000" cy="657375"/>
        </a:xfrm>
      </xdr:grpSpPr>
      <xdr:grpSp>
        <xdr:nvGrpSpPr>
          <xdr:cNvPr id="158" name="Gruppieren 157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1700-00009E000000}"/>
              </a:ext>
            </a:extLst>
          </xdr:cNvPr>
          <xdr:cNvGrpSpPr/>
        </xdr:nvGrpSpPr>
        <xdr:grpSpPr>
          <a:xfrm>
            <a:off x="76200" y="1517650"/>
            <a:ext cx="324000" cy="325465"/>
            <a:chOff x="12020550" y="2171700"/>
            <a:chExt cx="324000" cy="325465"/>
          </a:xfrm>
        </xdr:grpSpPr>
        <xdr:sp macro="" textlink="">
          <xdr:nvSpPr>
            <xdr:cNvPr id="159" name="Rechteck 158">
              <a:extLst>
                <a:ext uri="{FF2B5EF4-FFF2-40B4-BE49-F238E27FC236}">
                  <a16:creationId xmlns:a16="http://schemas.microsoft.com/office/drawing/2014/main" id="{00000000-0008-0000-1700-00009F000000}"/>
                </a:ext>
              </a:extLst>
            </xdr:cNvPr>
            <xdr:cNvSpPr>
              <a:spLocks noChangeAspect="1"/>
            </xdr:cNvSpPr>
          </xdr:nvSpPr>
          <xdr:spPr>
            <a:xfrm>
              <a:off x="12020550" y="2171700"/>
              <a:ext cx="324000" cy="325465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60" name="Pfeil nach rechts 159">
              <a:extLst>
                <a:ext uri="{FF2B5EF4-FFF2-40B4-BE49-F238E27FC236}">
                  <a16:creationId xmlns:a16="http://schemas.microsoft.com/office/drawing/2014/main" id="{00000000-0008-0000-1700-0000A0000000}"/>
                </a:ext>
              </a:extLst>
            </xdr:cNvPr>
            <xdr:cNvSpPr/>
          </xdr:nvSpPr>
          <xdr:spPr>
            <a:xfrm>
              <a:off x="12115800" y="2247900"/>
              <a:ext cx="162000" cy="180000"/>
            </a:xfrm>
            <a:prstGeom prst="rightArrow">
              <a:avLst/>
            </a:prstGeom>
            <a:solidFill>
              <a:schemeClr val="bg1"/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l"/>
              <a:endParaRPr lang="de-CH" sz="1100" baseline="0">
                <a:solidFill>
                  <a:schemeClr val="dk1"/>
                </a:solidFill>
                <a:latin typeface="+mn-lt"/>
                <a:ea typeface="+mn-ea"/>
                <a:cs typeface="+mn-cs"/>
              </a:endParaRPr>
            </a:p>
          </xdr:txBody>
        </xdr:sp>
      </xdr:grpSp>
      <xdr:sp macro="" textlink="' '!A526">
        <xdr:nvSpPr>
          <xdr:cNvPr id="161" name="Textfeld 160">
            <a:extLst>
              <a:ext uri="{FF2B5EF4-FFF2-40B4-BE49-F238E27FC236}">
                <a16:creationId xmlns:a16="http://schemas.microsoft.com/office/drawing/2014/main" id="{00000000-0008-0000-1700-0000A1000000}"/>
              </a:ext>
            </a:extLst>
          </xdr:cNvPr>
          <xdr:cNvSpPr txBox="1"/>
        </xdr:nvSpPr>
        <xdr:spPr>
          <a:xfrm>
            <a:off x="76199" y="1851025"/>
            <a:ext cx="612000" cy="3240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noAutofit/>
          </a:bodyPr>
          <a:lstStyle/>
          <a:p>
            <a:pPr algn="l"/>
            <a:fld id="{257F4517-B7D7-4C93-9439-A1C2B39B066F}" type="TxLink">
              <a:rPr lang="en-US" sz="900" b="0" i="0" u="none" strike="noStrike">
                <a:solidFill>
                  <a:srgbClr val="000000"/>
                </a:solidFill>
                <a:latin typeface="Calibri"/>
              </a:rPr>
              <a:pPr algn="l"/>
              <a:t>Ursache-Wirkung</a:t>
            </a:fld>
            <a:endParaRPr lang="de-CH" sz="900" b="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0</xdr:col>
      <xdr:colOff>76199</xdr:colOff>
      <xdr:row>3</xdr:row>
      <xdr:rowOff>1526382</xdr:rowOff>
    </xdr:from>
    <xdr:to>
      <xdr:col>0</xdr:col>
      <xdr:colOff>688199</xdr:colOff>
      <xdr:row>3</xdr:row>
      <xdr:rowOff>2183756</xdr:rowOff>
    </xdr:to>
    <xdr:grpSp>
      <xdr:nvGrpSpPr>
        <xdr:cNvPr id="52" name="Gruppieren 51">
          <a:extLst>
            <a:ext uri="{FF2B5EF4-FFF2-40B4-BE49-F238E27FC236}">
              <a16:creationId xmlns:a16="http://schemas.microsoft.com/office/drawing/2014/main" id="{00000000-0008-0000-1700-000034000000}"/>
            </a:ext>
          </a:extLst>
        </xdr:cNvPr>
        <xdr:cNvGrpSpPr/>
      </xdr:nvGrpSpPr>
      <xdr:grpSpPr>
        <a:xfrm>
          <a:off x="76199" y="2699862"/>
          <a:ext cx="612000" cy="657374"/>
          <a:chOff x="76199" y="2223672"/>
          <a:chExt cx="612000" cy="657374"/>
        </a:xfrm>
      </xdr:grpSpPr>
      <xdr:grpSp>
        <xdr:nvGrpSpPr>
          <xdr:cNvPr id="162" name="Gruppieren 161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1700-0000A2000000}"/>
              </a:ext>
            </a:extLst>
          </xdr:cNvPr>
          <xdr:cNvGrpSpPr/>
        </xdr:nvGrpSpPr>
        <xdr:grpSpPr>
          <a:xfrm>
            <a:off x="76200" y="2223672"/>
            <a:ext cx="324000" cy="325465"/>
            <a:chOff x="12020550" y="2171700"/>
            <a:chExt cx="324000" cy="325465"/>
          </a:xfrm>
        </xdr:grpSpPr>
        <xdr:sp macro="" textlink="">
          <xdr:nvSpPr>
            <xdr:cNvPr id="163" name="Rechteck 162">
              <a:extLst>
                <a:ext uri="{FF2B5EF4-FFF2-40B4-BE49-F238E27FC236}">
                  <a16:creationId xmlns:a16="http://schemas.microsoft.com/office/drawing/2014/main" id="{00000000-0008-0000-1700-0000A3000000}"/>
                </a:ext>
              </a:extLst>
            </xdr:cNvPr>
            <xdr:cNvSpPr>
              <a:spLocks noChangeAspect="1"/>
            </xdr:cNvSpPr>
          </xdr:nvSpPr>
          <xdr:spPr>
            <a:xfrm>
              <a:off x="12020550" y="2171700"/>
              <a:ext cx="324000" cy="325465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64" name="Pfeil nach rechts 163">
              <a:extLst>
                <a:ext uri="{FF2B5EF4-FFF2-40B4-BE49-F238E27FC236}">
                  <a16:creationId xmlns:a16="http://schemas.microsoft.com/office/drawing/2014/main" id="{00000000-0008-0000-1700-0000A4000000}"/>
                </a:ext>
              </a:extLst>
            </xdr:cNvPr>
            <xdr:cNvSpPr/>
          </xdr:nvSpPr>
          <xdr:spPr>
            <a:xfrm>
              <a:off x="12115800" y="2247900"/>
              <a:ext cx="162000" cy="180000"/>
            </a:xfrm>
            <a:prstGeom prst="rightArrow">
              <a:avLst/>
            </a:prstGeom>
            <a:solidFill>
              <a:schemeClr val="bg1"/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l"/>
              <a:endParaRPr lang="de-CH" sz="1100" baseline="0">
                <a:solidFill>
                  <a:schemeClr val="dk1"/>
                </a:solidFill>
                <a:latin typeface="+mn-lt"/>
                <a:ea typeface="+mn-ea"/>
                <a:cs typeface="+mn-cs"/>
              </a:endParaRPr>
            </a:p>
          </xdr:txBody>
        </xdr:sp>
      </xdr:grpSp>
      <xdr:sp macro="" textlink="' '!A527">
        <xdr:nvSpPr>
          <xdr:cNvPr id="165" name="Textfeld 164">
            <a:extLst>
              <a:ext uri="{FF2B5EF4-FFF2-40B4-BE49-F238E27FC236}">
                <a16:creationId xmlns:a16="http://schemas.microsoft.com/office/drawing/2014/main" id="{00000000-0008-0000-1700-0000A5000000}"/>
              </a:ext>
            </a:extLst>
          </xdr:cNvPr>
          <xdr:cNvSpPr txBox="1"/>
        </xdr:nvSpPr>
        <xdr:spPr>
          <a:xfrm>
            <a:off x="76199" y="2557046"/>
            <a:ext cx="612000" cy="3240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noAutofit/>
          </a:bodyPr>
          <a:lstStyle/>
          <a:p>
            <a:pPr algn="l"/>
            <a:fld id="{C4CD7FD2-0F52-4C2E-96A1-04314E66334C}" type="TxLink">
              <a:rPr lang="en-US" sz="900" b="0" i="0" u="none" strike="noStrike">
                <a:solidFill>
                  <a:srgbClr val="000000"/>
                </a:solidFill>
                <a:latin typeface="Calibri"/>
              </a:rPr>
              <a:pPr algn="l"/>
              <a:t>Kosten-Nutzen</a:t>
            </a:fld>
            <a:endParaRPr lang="de-CH" sz="900" b="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0</xdr:col>
      <xdr:colOff>76199</xdr:colOff>
      <xdr:row>3</xdr:row>
      <xdr:rowOff>2232422</xdr:rowOff>
    </xdr:from>
    <xdr:to>
      <xdr:col>0</xdr:col>
      <xdr:colOff>688199</xdr:colOff>
      <xdr:row>3</xdr:row>
      <xdr:rowOff>2913608</xdr:rowOff>
    </xdr:to>
    <xdr:grpSp>
      <xdr:nvGrpSpPr>
        <xdr:cNvPr id="45" name="Gruppieren 44">
          <a:extLst>
            <a:ext uri="{FF2B5EF4-FFF2-40B4-BE49-F238E27FC236}">
              <a16:creationId xmlns:a16="http://schemas.microsoft.com/office/drawing/2014/main" id="{00000000-0008-0000-1700-00002D000000}"/>
            </a:ext>
          </a:extLst>
        </xdr:cNvPr>
        <xdr:cNvGrpSpPr/>
      </xdr:nvGrpSpPr>
      <xdr:grpSpPr>
        <a:xfrm>
          <a:off x="76199" y="3405902"/>
          <a:ext cx="612000" cy="681186"/>
          <a:chOff x="76199" y="2924175"/>
          <a:chExt cx="612000" cy="681186"/>
        </a:xfrm>
      </xdr:grpSpPr>
      <xdr:grpSp>
        <xdr:nvGrpSpPr>
          <xdr:cNvPr id="166" name="Gruppieren 165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1700-0000A6000000}"/>
              </a:ext>
            </a:extLst>
          </xdr:cNvPr>
          <xdr:cNvGrpSpPr/>
        </xdr:nvGrpSpPr>
        <xdr:grpSpPr>
          <a:xfrm>
            <a:off x="76200" y="2924175"/>
            <a:ext cx="324000" cy="324000"/>
            <a:chOff x="12020550" y="2171700"/>
            <a:chExt cx="324000" cy="325465"/>
          </a:xfrm>
        </xdr:grpSpPr>
        <xdr:sp macro="" textlink="">
          <xdr:nvSpPr>
            <xdr:cNvPr id="167" name="Rechteck 166">
              <a:extLst>
                <a:ext uri="{FF2B5EF4-FFF2-40B4-BE49-F238E27FC236}">
                  <a16:creationId xmlns:a16="http://schemas.microsoft.com/office/drawing/2014/main" id="{00000000-0008-0000-1700-0000A7000000}"/>
                </a:ext>
              </a:extLst>
            </xdr:cNvPr>
            <xdr:cNvSpPr>
              <a:spLocks noChangeAspect="1"/>
            </xdr:cNvSpPr>
          </xdr:nvSpPr>
          <xdr:spPr>
            <a:xfrm>
              <a:off x="12020550" y="2171700"/>
              <a:ext cx="324000" cy="325465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68" name="Pfeil nach rechts 167">
              <a:extLst>
                <a:ext uri="{FF2B5EF4-FFF2-40B4-BE49-F238E27FC236}">
                  <a16:creationId xmlns:a16="http://schemas.microsoft.com/office/drawing/2014/main" id="{00000000-0008-0000-1700-0000A8000000}"/>
                </a:ext>
              </a:extLst>
            </xdr:cNvPr>
            <xdr:cNvSpPr/>
          </xdr:nvSpPr>
          <xdr:spPr>
            <a:xfrm>
              <a:off x="12115800" y="2247900"/>
              <a:ext cx="162000" cy="180000"/>
            </a:xfrm>
            <a:prstGeom prst="rightArrow">
              <a:avLst/>
            </a:prstGeom>
            <a:solidFill>
              <a:schemeClr val="bg1"/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l"/>
              <a:endParaRPr lang="de-CH" sz="1100" baseline="0">
                <a:solidFill>
                  <a:schemeClr val="dk1"/>
                </a:solidFill>
                <a:latin typeface="+mn-lt"/>
                <a:ea typeface="+mn-ea"/>
                <a:cs typeface="+mn-cs"/>
              </a:endParaRPr>
            </a:p>
          </xdr:txBody>
        </xdr:sp>
      </xdr:grpSp>
      <xdr:sp macro="" textlink="' '!A528">
        <xdr:nvSpPr>
          <xdr:cNvPr id="169" name="Textfeld 168">
            <a:extLst>
              <a:ext uri="{FF2B5EF4-FFF2-40B4-BE49-F238E27FC236}">
                <a16:creationId xmlns:a16="http://schemas.microsoft.com/office/drawing/2014/main" id="{00000000-0008-0000-1700-0000A9000000}"/>
              </a:ext>
            </a:extLst>
          </xdr:cNvPr>
          <xdr:cNvSpPr txBox="1"/>
        </xdr:nvSpPr>
        <xdr:spPr>
          <a:xfrm>
            <a:off x="76199" y="3281361"/>
            <a:ext cx="612000" cy="3240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noAutofit/>
          </a:bodyPr>
          <a:lstStyle/>
          <a:p>
            <a:pPr algn="l"/>
            <a:fld id="{DC8A4FAE-3203-42E6-92EE-A215C62CF4A8}" type="TxLink">
              <a:rPr lang="en-US" sz="900" b="0" i="0" u="none" strike="noStrike">
                <a:solidFill>
                  <a:srgbClr val="000000"/>
                </a:solidFill>
                <a:latin typeface="Calibri"/>
              </a:rPr>
              <a:pPr algn="l"/>
              <a:t>Varianten</a:t>
            </a:fld>
            <a:endParaRPr lang="de-CH" sz="900" b="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0</xdr:col>
      <xdr:colOff>85724</xdr:colOff>
      <xdr:row>4</xdr:row>
      <xdr:rowOff>0</xdr:rowOff>
    </xdr:from>
    <xdr:to>
      <xdr:col>0</xdr:col>
      <xdr:colOff>697724</xdr:colOff>
      <xdr:row>4</xdr:row>
      <xdr:rowOff>704998</xdr:rowOff>
    </xdr:to>
    <xdr:grpSp>
      <xdr:nvGrpSpPr>
        <xdr:cNvPr id="16" name="Gruppieren 15">
          <a:extLst>
            <a:ext uri="{FF2B5EF4-FFF2-40B4-BE49-F238E27FC236}">
              <a16:creationId xmlns:a16="http://schemas.microsoft.com/office/drawing/2014/main" id="{00000000-0008-0000-1700-000010000000}"/>
            </a:ext>
          </a:extLst>
        </xdr:cNvPr>
        <xdr:cNvGrpSpPr/>
      </xdr:nvGrpSpPr>
      <xdr:grpSpPr>
        <a:xfrm>
          <a:off x="85724" y="4130040"/>
          <a:ext cx="612000" cy="704998"/>
          <a:chOff x="85724" y="3600450"/>
          <a:chExt cx="612000" cy="704998"/>
        </a:xfrm>
      </xdr:grpSpPr>
      <xdr:grpSp>
        <xdr:nvGrpSpPr>
          <xdr:cNvPr id="171" name="Gruppieren 170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1700-0000AB000000}"/>
              </a:ext>
            </a:extLst>
          </xdr:cNvPr>
          <xdr:cNvGrpSpPr/>
        </xdr:nvGrpSpPr>
        <xdr:grpSpPr>
          <a:xfrm>
            <a:off x="85725" y="3600450"/>
            <a:ext cx="324000" cy="324000"/>
            <a:chOff x="12020550" y="2171700"/>
            <a:chExt cx="324000" cy="325465"/>
          </a:xfrm>
        </xdr:grpSpPr>
        <xdr:sp macro="" textlink="">
          <xdr:nvSpPr>
            <xdr:cNvPr id="173" name="Rechteck 172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1700-0000AD000000}"/>
                </a:ext>
              </a:extLst>
            </xdr:cNvPr>
            <xdr:cNvSpPr>
              <a:spLocks noChangeAspect="1"/>
            </xdr:cNvSpPr>
          </xdr:nvSpPr>
          <xdr:spPr>
            <a:xfrm>
              <a:off x="12020550" y="2171700"/>
              <a:ext cx="324000" cy="325465"/>
            </a:xfrm>
            <a:prstGeom prst="rect">
              <a:avLst/>
            </a:prstGeom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spcFirstLastPara="0" vert="horz" wrap="square" lIns="41949" tIns="34964" rIns="41949" bIns="34964" numCol="1" spcCol="1270" anchor="ctr" anchorCtr="0">
              <a:noAutofit/>
            </a:bodyPr>
            <a:lstStyle/>
            <a:p>
              <a:pPr marL="0" marR="0" lvl="0" indent="0" algn="ctr" defTabSz="466725" rtl="0" eaLnBrk="1" fontAlgn="auto" latinLnBrk="0" hangingPunct="1">
                <a:lnSpc>
                  <a:spcPct val="90000"/>
                </a:lnSpc>
                <a:spcBef>
                  <a:spcPts val="0"/>
                </a:spcBef>
                <a:spcAft>
                  <a:spcPct val="35000"/>
                </a:spcAft>
                <a:buClrTx/>
                <a:buSzTx/>
                <a:buFontTx/>
                <a:buNone/>
                <a:tabLst/>
                <a:defRPr/>
              </a:pPr>
              <a:endParaRPr kumimoji="0" lang="de-CH" sz="1050" b="0" i="0" u="none" strike="noStrike" kern="0" cap="none" spc="0" normalizeH="0" baseline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174" name="Pfeil nach rechts 173">
              <a:extLst>
                <a:ext uri="{FF2B5EF4-FFF2-40B4-BE49-F238E27FC236}">
                  <a16:creationId xmlns:a16="http://schemas.microsoft.com/office/drawing/2014/main" id="{00000000-0008-0000-1700-0000AE000000}"/>
                </a:ext>
              </a:extLst>
            </xdr:cNvPr>
            <xdr:cNvSpPr/>
          </xdr:nvSpPr>
          <xdr:spPr>
            <a:xfrm>
              <a:off x="12115800" y="2247900"/>
              <a:ext cx="162000" cy="180000"/>
            </a:xfrm>
            <a:prstGeom prst="rightArrow">
              <a:avLst/>
            </a:prstGeom>
            <a:solidFill>
              <a:schemeClr val="bg1"/>
            </a:solidFill>
            <a:ln>
              <a:noFill/>
            </a:ln>
            <a:effectLst/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l"/>
              <a:endParaRPr lang="de-CH" sz="1100" baseline="0">
                <a:solidFill>
                  <a:schemeClr val="dk1"/>
                </a:solidFill>
                <a:latin typeface="+mn-lt"/>
                <a:ea typeface="+mn-ea"/>
                <a:cs typeface="+mn-cs"/>
              </a:endParaRPr>
            </a:p>
          </xdr:txBody>
        </xdr:sp>
      </xdr:grpSp>
      <xdr:sp macro="" textlink="' '!A529">
        <xdr:nvSpPr>
          <xdr:cNvPr id="172" name="Textfeld 171">
            <a:extLst>
              <a:ext uri="{FF2B5EF4-FFF2-40B4-BE49-F238E27FC236}">
                <a16:creationId xmlns:a16="http://schemas.microsoft.com/office/drawing/2014/main" id="{00000000-0008-0000-1700-0000AC000000}"/>
              </a:ext>
            </a:extLst>
          </xdr:cNvPr>
          <xdr:cNvSpPr txBox="1"/>
        </xdr:nvSpPr>
        <xdr:spPr>
          <a:xfrm>
            <a:off x="85724" y="3981448"/>
            <a:ext cx="612000" cy="3240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noAutofit/>
          </a:bodyPr>
          <a:lstStyle/>
          <a:p>
            <a:pPr algn="l"/>
            <a:fld id="{BAC16463-D14F-4763-A1D9-EDD52E372D0D}" type="TxLink">
              <a:rPr lang="en-US" sz="900" b="0" i="0" u="none" strike="noStrike">
                <a:solidFill>
                  <a:srgbClr val="000000"/>
                </a:solidFill>
                <a:latin typeface="Calibri"/>
                <a:cs typeface="Arial"/>
              </a:rPr>
              <a:pPr algn="l"/>
              <a:t>Dringlich-keit</a:t>
            </a:fld>
            <a:endParaRPr lang="de-CH" sz="900" b="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7</xdr:col>
      <xdr:colOff>1060173</xdr:colOff>
      <xdr:row>3</xdr:row>
      <xdr:rowOff>2225529</xdr:rowOff>
    </xdr:from>
    <xdr:to>
      <xdr:col>8</xdr:col>
      <xdr:colOff>1131648</xdr:colOff>
      <xdr:row>3</xdr:row>
      <xdr:rowOff>2765529</xdr:rowOff>
    </xdr:to>
    <xdr:sp macro="" textlink="' '!A520" fLocksText="0">
      <xdr:nvSpPr>
        <xdr:cNvPr id="170" name="Flussdiagramm: Vordefinierter Prozess 169">
          <a:extLst>
            <a:ext uri="{FF2B5EF4-FFF2-40B4-BE49-F238E27FC236}">
              <a16:creationId xmlns:a16="http://schemas.microsoft.com/office/drawing/2014/main" id="{00000000-0008-0000-1700-0000AA000000}"/>
            </a:ext>
          </a:extLst>
        </xdr:cNvPr>
        <xdr:cNvSpPr/>
      </xdr:nvSpPr>
      <xdr:spPr>
        <a:xfrm>
          <a:off x="8041998" y="3063729"/>
          <a:ext cx="1224000" cy="540000"/>
        </a:xfrm>
        <a:prstGeom prst="flowChartPredefinedProcess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36000" rIns="36000" bIns="3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fld id="{27406FAA-C994-4A6E-AB7A-B8A664ECCACC}" type="TxLink">
            <a:rPr lang="en-US" sz="1000" b="0" i="0" u="none" strike="noStrike" baseline="0">
              <a:solidFill>
                <a:schemeClr val="accent3">
                  <a:lumMod val="50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Change Management</a:t>
          </a:fld>
          <a:endParaRPr lang="de-CH" sz="1000" b="0" i="0" u="none" strike="noStrike" baseline="0">
            <a:solidFill>
              <a:schemeClr val="accent3">
                <a:lumMod val="50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519648</xdr:colOff>
      <xdr:row>3</xdr:row>
      <xdr:rowOff>1803504</xdr:rowOff>
    </xdr:from>
    <xdr:to>
      <xdr:col>8</xdr:col>
      <xdr:colOff>519648</xdr:colOff>
      <xdr:row>3</xdr:row>
      <xdr:rowOff>2225529</xdr:rowOff>
    </xdr:to>
    <xdr:cxnSp macro="">
      <xdr:nvCxnSpPr>
        <xdr:cNvPr id="175" name="Gerade Verbindung mit Pfeil 174">
          <a:extLst>
            <a:ext uri="{FF2B5EF4-FFF2-40B4-BE49-F238E27FC236}">
              <a16:creationId xmlns:a16="http://schemas.microsoft.com/office/drawing/2014/main" id="{00000000-0008-0000-1700-0000AF000000}"/>
            </a:ext>
          </a:extLst>
        </xdr:cNvPr>
        <xdr:cNvCxnSpPr>
          <a:stCxn id="149" idx="2"/>
          <a:endCxn id="170" idx="0"/>
        </xdr:cNvCxnSpPr>
      </xdr:nvCxnSpPr>
      <xdr:spPr>
        <a:xfrm>
          <a:off x="8653998" y="2641704"/>
          <a:ext cx="0" cy="422025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14</xdr:col>
      <xdr:colOff>1019175</xdr:colOff>
      <xdr:row>1</xdr:row>
      <xdr:rowOff>133350</xdr:rowOff>
    </xdr:from>
    <xdr:to>
      <xdr:col>14</xdr:col>
      <xdr:colOff>1191975</xdr:colOff>
      <xdr:row>1</xdr:row>
      <xdr:rowOff>306150</xdr:rowOff>
    </xdr:to>
    <xdr:grpSp>
      <xdr:nvGrpSpPr>
        <xdr:cNvPr id="176" name="Gruppieren 17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1700-0000B0000000}"/>
            </a:ext>
          </a:extLst>
        </xdr:cNvPr>
        <xdr:cNvGrpSpPr/>
      </xdr:nvGrpSpPr>
      <xdr:grpSpPr>
        <a:xfrm>
          <a:off x="14316075" y="704850"/>
          <a:ext cx="172800" cy="172800"/>
          <a:chOff x="8105775" y="571500"/>
          <a:chExt cx="172800" cy="172800"/>
        </a:xfrm>
      </xdr:grpSpPr>
      <xdr:sp macro="" textlink="">
        <xdr:nvSpPr>
          <xdr:cNvPr id="177" name="Rechteck 176">
            <a:extLst>
              <a:ext uri="{FF2B5EF4-FFF2-40B4-BE49-F238E27FC236}">
                <a16:creationId xmlns:a16="http://schemas.microsoft.com/office/drawing/2014/main" id="{00000000-0008-0000-1700-0000B1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8" name="Textfeld 177">
            <a:extLst>
              <a:ext uri="{FF2B5EF4-FFF2-40B4-BE49-F238E27FC236}">
                <a16:creationId xmlns:a16="http://schemas.microsoft.com/office/drawing/2014/main" id="{00000000-0008-0000-1700-0000B2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0</xdr:row>
          <xdr:rowOff>19050</xdr:rowOff>
        </xdr:from>
        <xdr:to>
          <xdr:col>14</xdr:col>
          <xdr:colOff>1169670</xdr:colOff>
          <xdr:row>0</xdr:row>
          <xdr:rowOff>552450</xdr:rowOff>
        </xdr:to>
        <xdr:pic>
          <xdr:nvPicPr>
            <xdr:cNvPr id="179" name="Grafik 59">
              <a:extLst>
                <a:ext uri="{FF2B5EF4-FFF2-40B4-BE49-F238E27FC236}">
                  <a16:creationId xmlns:a16="http://schemas.microsoft.com/office/drawing/2014/main" id="{00000000-0008-0000-1700-0000B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31445"/>
                </a:ext>
              </a:extLst>
            </xdr:cNvPicPr>
          </xdr:nvPicPr>
          <xdr:blipFill>
            <a:blip xmlns:r="http://schemas.openxmlformats.org/officeDocument/2006/relationships" r:embed="rId13"/>
            <a:srcRect/>
            <a:stretch>
              <a:fillRect/>
            </a:stretch>
          </xdr:blipFill>
          <xdr:spPr bwMode="auto">
            <a:xfrm>
              <a:off x="11887200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140804</xdr:colOff>
      <xdr:row>10</xdr:row>
      <xdr:rowOff>71182</xdr:rowOff>
    </xdr:from>
    <xdr:to>
      <xdr:col>5</xdr:col>
      <xdr:colOff>200024</xdr:colOff>
      <xdr:row>12</xdr:row>
      <xdr:rowOff>224874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70000" contrast="-70000"/>
          <a:extLst>
            <a:ext uri="{28A0092B-C50C-407E-A947-70E740481C1C}">
              <a14:useLocalDpi xmlns:a14="http://schemas.microsoft.com/office/drawing/2010/main"/>
            </a:ext>
          </a:extLst>
        </a:blip>
        <a:srcRect l="3721" t="27295" r="5139" b="28064"/>
        <a:stretch/>
      </xdr:blipFill>
      <xdr:spPr>
        <a:xfrm flipH="1">
          <a:off x="607529" y="3090607"/>
          <a:ext cx="1173645" cy="6680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absolute">
    <xdr:from>
      <xdr:col>3</xdr:col>
      <xdr:colOff>235226</xdr:colOff>
      <xdr:row>3</xdr:row>
      <xdr:rowOff>51352</xdr:rowOff>
    </xdr:from>
    <xdr:to>
      <xdr:col>26</xdr:col>
      <xdr:colOff>638175</xdr:colOff>
      <xdr:row>19</xdr:row>
      <xdr:rowOff>91938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GrpSpPr/>
      </xdr:nvGrpSpPr>
      <xdr:grpSpPr>
        <a:xfrm>
          <a:off x="1370606" y="1301032"/>
          <a:ext cx="6445609" cy="4223966"/>
          <a:chOff x="2438400" y="1457325"/>
          <a:chExt cx="5919460" cy="5600702"/>
        </a:xfrm>
      </xdr:grpSpPr>
      <xdr:sp macro="" textlink="">
        <xdr:nvSpPr>
          <xdr:cNvPr id="4" name="Line 24">
            <a:extLst>
              <a:ext uri="{FF2B5EF4-FFF2-40B4-BE49-F238E27FC236}">
                <a16:creationId xmlns:a16="http://schemas.microsoft.com/office/drawing/2014/main" id="{00000000-0008-0000-18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2438400" y="4257675"/>
            <a:ext cx="5919460" cy="0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  <xdr:sp macro="" textlink="">
        <xdr:nvSpPr>
          <xdr:cNvPr id="5" name="Line 25">
            <a:extLst>
              <a:ext uri="{FF2B5EF4-FFF2-40B4-BE49-F238E27FC236}">
                <a16:creationId xmlns:a16="http://schemas.microsoft.com/office/drawing/2014/main" id="{00000000-0008-0000-1800-000005000000}"/>
              </a:ext>
            </a:extLst>
          </xdr:cNvPr>
          <xdr:cNvSpPr>
            <a:spLocks noChangeShapeType="1"/>
          </xdr:cNvSpPr>
        </xdr:nvSpPr>
        <xdr:spPr bwMode="auto">
          <a:xfrm>
            <a:off x="3613898" y="1457325"/>
            <a:ext cx="933450" cy="2800352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  <xdr:sp macro="" textlink="">
        <xdr:nvSpPr>
          <xdr:cNvPr id="6" name="Line 26">
            <a:extLst>
              <a:ext uri="{FF2B5EF4-FFF2-40B4-BE49-F238E27FC236}">
                <a16:creationId xmlns:a16="http://schemas.microsoft.com/office/drawing/2014/main" id="{00000000-0008-0000-18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5347449" y="1457325"/>
            <a:ext cx="933450" cy="2800352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  <xdr:sp macro="" textlink="">
        <xdr:nvSpPr>
          <xdr:cNvPr id="7" name="Line 27">
            <a:extLst>
              <a:ext uri="{FF2B5EF4-FFF2-40B4-BE49-F238E27FC236}">
                <a16:creationId xmlns:a16="http://schemas.microsoft.com/office/drawing/2014/main" id="{00000000-0008-0000-18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7080999" y="1457325"/>
            <a:ext cx="933450" cy="2800352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  <xdr:sp macro="" textlink="">
        <xdr:nvSpPr>
          <xdr:cNvPr id="8" name="Line 28">
            <a:extLst>
              <a:ext uri="{FF2B5EF4-FFF2-40B4-BE49-F238E27FC236}">
                <a16:creationId xmlns:a16="http://schemas.microsoft.com/office/drawing/2014/main" id="{00000000-0008-0000-1800-00000800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3613898" y="4257675"/>
            <a:ext cx="933450" cy="2800352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  <xdr:sp macro="" textlink="">
        <xdr:nvSpPr>
          <xdr:cNvPr id="9" name="Line 29">
            <a:extLst>
              <a:ext uri="{FF2B5EF4-FFF2-40B4-BE49-F238E27FC236}">
                <a16:creationId xmlns:a16="http://schemas.microsoft.com/office/drawing/2014/main" id="{00000000-0008-0000-1800-00000900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5347449" y="4257675"/>
            <a:ext cx="933450" cy="2800350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  <xdr:sp macro="" textlink="">
        <xdr:nvSpPr>
          <xdr:cNvPr id="10" name="Line 30">
            <a:extLst>
              <a:ext uri="{FF2B5EF4-FFF2-40B4-BE49-F238E27FC236}">
                <a16:creationId xmlns:a16="http://schemas.microsoft.com/office/drawing/2014/main" id="{00000000-0008-0000-1800-00000A00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7080999" y="4257675"/>
            <a:ext cx="933450" cy="2800350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</xdr:grpSp>
    <xdr:clientData/>
  </xdr:twoCellAnchor>
  <xdr:twoCellAnchor>
    <xdr:from>
      <xdr:col>0</xdr:col>
      <xdr:colOff>314324</xdr:colOff>
      <xdr:row>4</xdr:row>
      <xdr:rowOff>238522</xdr:rowOff>
    </xdr:from>
    <xdr:to>
      <xdr:col>2</xdr:col>
      <xdr:colOff>19049</xdr:colOff>
      <xdr:row>18</xdr:row>
      <xdr:rowOff>185928</xdr:rowOff>
    </xdr:to>
    <xdr:sp macro="" textlink="">
      <xdr:nvSpPr>
        <xdr:cNvPr id="11" name="Rechteck 10">
          <a:extLst>
            <a:ext uri="{FF2B5EF4-FFF2-40B4-BE49-F238E27FC236}">
              <a16:creationId xmlns:a16="http://schemas.microsoft.com/office/drawing/2014/main" id="{00000000-0008-0000-1800-00000B000000}"/>
            </a:ext>
          </a:extLst>
        </xdr:cNvPr>
        <xdr:cNvSpPr/>
      </xdr:nvSpPr>
      <xdr:spPr>
        <a:xfrm rot="16200000">
          <a:off x="-1283391" y="3274512"/>
          <a:ext cx="3547856" cy="352425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de-CH" sz="1600" baseline="0">
              <a:solidFill>
                <a:schemeClr val="bg1">
                  <a:lumMod val="50000"/>
                </a:schemeClr>
              </a:solidFill>
            </a:rPr>
            <a:t>Fishbone Diagram</a:t>
          </a:r>
        </a:p>
      </xdr:txBody>
    </xdr:sp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2" name="Gruppieren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800-00000C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1800-00000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Pfeil nach links 13">
            <a:extLst>
              <a:ext uri="{FF2B5EF4-FFF2-40B4-BE49-F238E27FC236}">
                <a16:creationId xmlns:a16="http://schemas.microsoft.com/office/drawing/2014/main" id="{00000000-0008-0000-1800-00000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27</xdr:col>
      <xdr:colOff>811696</xdr:colOff>
      <xdr:row>1</xdr:row>
      <xdr:rowOff>41414</xdr:rowOff>
    </xdr:from>
    <xdr:to>
      <xdr:col>28</xdr:col>
      <xdr:colOff>1096</xdr:colOff>
      <xdr:row>1</xdr:row>
      <xdr:rowOff>221414</xdr:rowOff>
    </xdr:to>
    <xdr:grpSp>
      <xdr:nvGrpSpPr>
        <xdr:cNvPr id="15" name="Gruppieren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800-00000F000000}"/>
            </a:ext>
          </a:extLst>
        </xdr:cNvPr>
        <xdr:cNvGrpSpPr>
          <a:grpSpLocks noChangeAspect="1"/>
        </xdr:cNvGrpSpPr>
      </xdr:nvGrpSpPr>
      <xdr:grpSpPr>
        <a:xfrm>
          <a:off x="8843176" y="612914"/>
          <a:ext cx="195240" cy="180000"/>
          <a:chOff x="8105775" y="571500"/>
          <a:chExt cx="172800" cy="172800"/>
        </a:xfrm>
      </xdr:grpSpPr>
      <xdr:sp macro="" textlink="">
        <xdr:nvSpPr>
          <xdr:cNvPr id="16" name="Rechteck 15">
            <a:extLst>
              <a:ext uri="{FF2B5EF4-FFF2-40B4-BE49-F238E27FC236}">
                <a16:creationId xmlns:a16="http://schemas.microsoft.com/office/drawing/2014/main" id="{00000000-0008-0000-1800-000010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" name="Textfeld 16">
            <a:extLst>
              <a:ext uri="{FF2B5EF4-FFF2-40B4-BE49-F238E27FC236}">
                <a16:creationId xmlns:a16="http://schemas.microsoft.com/office/drawing/2014/main" id="{00000000-0008-0000-1800-000011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104775</xdr:colOff>
          <xdr:row>0</xdr:row>
          <xdr:rowOff>19050</xdr:rowOff>
        </xdr:from>
        <xdr:to>
          <xdr:col>28</xdr:col>
          <xdr:colOff>7620</xdr:colOff>
          <xdr:row>0</xdr:row>
          <xdr:rowOff>552450</xdr:rowOff>
        </xdr:to>
        <xdr:pic>
          <xdr:nvPicPr>
            <xdr:cNvPr id="18" name="Grafik 59">
              <a:extLst>
                <a:ext uri="{FF2B5EF4-FFF2-40B4-BE49-F238E27FC236}">
                  <a16:creationId xmlns:a16="http://schemas.microsoft.com/office/drawing/2014/main" id="{00000000-0008-0000-1800-00001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32469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660082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551787</xdr:colOff>
      <xdr:row>28</xdr:row>
      <xdr:rowOff>58239</xdr:rowOff>
    </xdr:from>
    <xdr:to>
      <xdr:col>5</xdr:col>
      <xdr:colOff>441237</xdr:colOff>
      <xdr:row>43</xdr:row>
      <xdr:rowOff>80739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/>
      </xdr:nvSpPr>
      <xdr:spPr>
        <a:xfrm>
          <a:off x="1323312" y="10249989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551787</xdr:colOff>
      <xdr:row>43</xdr:row>
      <xdr:rowOff>130946</xdr:rowOff>
    </xdr:from>
    <xdr:to>
      <xdr:col>5</xdr:col>
      <xdr:colOff>441237</xdr:colOff>
      <xdr:row>58</xdr:row>
      <xdr:rowOff>153446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1323312" y="13180196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497846</xdr:colOff>
      <xdr:row>28</xdr:row>
      <xdr:rowOff>58239</xdr:rowOff>
    </xdr:from>
    <xdr:to>
      <xdr:col>6</xdr:col>
      <xdr:colOff>415871</xdr:colOff>
      <xdr:row>43</xdr:row>
      <xdr:rowOff>80739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>
          <a:spLocks noChangeAspect="1"/>
        </xdr:cNvSpPr>
      </xdr:nvSpPr>
      <xdr:spPr>
        <a:xfrm>
          <a:off x="4907921" y="10249989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497846</xdr:colOff>
      <xdr:row>43</xdr:row>
      <xdr:rowOff>130946</xdr:rowOff>
    </xdr:from>
    <xdr:to>
      <xdr:col>6</xdr:col>
      <xdr:colOff>415871</xdr:colOff>
      <xdr:row>58</xdr:row>
      <xdr:rowOff>153446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>
          <a:spLocks noChangeAspect="1"/>
        </xdr:cNvSpPr>
      </xdr:nvSpPr>
      <xdr:spPr>
        <a:xfrm>
          <a:off x="4907921" y="13180196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1</xdr:col>
      <xdr:colOff>53219</xdr:colOff>
      <xdr:row>28</xdr:row>
      <xdr:rowOff>76200</xdr:rowOff>
    </xdr:from>
    <xdr:to>
      <xdr:col>2</xdr:col>
      <xdr:colOff>91205</xdr:colOff>
      <xdr:row>59</xdr:row>
      <xdr:rowOff>28578</xdr:rowOff>
    </xdr:to>
    <xdr:sp macro="" textlink="' '!A127">
      <xdr:nvSpPr>
        <xdr:cNvPr id="7" name="Textfeld 6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SpPr txBox="1"/>
      </xdr:nvSpPr>
      <xdr:spPr>
        <a:xfrm rot="16200000">
          <a:off x="-2237602" y="13025496"/>
          <a:ext cx="585787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53CA034A-7C8E-4868-AB5B-23C6BEE105E6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Nutzen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485776</xdr:colOff>
      <xdr:row>61</xdr:row>
      <xdr:rowOff>10244</xdr:rowOff>
    </xdr:from>
    <xdr:to>
      <xdr:col>6</xdr:col>
      <xdr:colOff>428625</xdr:colOff>
      <xdr:row>62</xdr:row>
      <xdr:rowOff>152110</xdr:rowOff>
    </xdr:to>
    <xdr:sp macro="" textlink="' '!A131">
      <xdr:nvSpPr>
        <xdr:cNvPr id="8" name="Textfeld 7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SpPr txBox="1"/>
      </xdr:nvSpPr>
      <xdr:spPr>
        <a:xfrm>
          <a:off x="1257301" y="16488494"/>
          <a:ext cx="7191374" cy="332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CE5E82FB-66A0-48DD-BDE6-CB64C1A2D82E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Kosten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280386</xdr:colOff>
      <xdr:row>28</xdr:row>
      <xdr:rowOff>76199</xdr:rowOff>
    </xdr:from>
    <xdr:to>
      <xdr:col>2</xdr:col>
      <xdr:colOff>287082</xdr:colOff>
      <xdr:row>33</xdr:row>
      <xdr:rowOff>171449</xdr:rowOff>
    </xdr:to>
    <xdr:sp macro="" textlink="' '!A128">
      <xdr:nvSpPr>
        <xdr:cNvPr id="9" name="Textfeld 8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SpPr txBox="1"/>
      </xdr:nvSpPr>
      <xdr:spPr>
        <a:xfrm rot="16200000">
          <a:off x="378984" y="10636076"/>
          <a:ext cx="10477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C901478D-4F9A-4980-824E-05883A774475}" type="TxLink">
            <a:rPr lang="en-US" sz="1400" b="0" i="0" u="none" strike="noStrike">
              <a:solidFill>
                <a:srgbClr val="000000"/>
              </a:solidFill>
              <a:latin typeface="Calibri"/>
            </a:rPr>
            <a:pPr algn="ctr"/>
            <a:t>hoch</a:t>
          </a:fld>
          <a:endParaRPr lang="de-CH" sz="1400" b="0"/>
        </a:p>
      </xdr:txBody>
    </xdr:sp>
    <xdr:clientData/>
  </xdr:twoCellAnchor>
  <xdr:twoCellAnchor editAs="oneCell">
    <xdr:from>
      <xdr:col>1</xdr:col>
      <xdr:colOff>280385</xdr:colOff>
      <xdr:row>53</xdr:row>
      <xdr:rowOff>114300</xdr:rowOff>
    </xdr:from>
    <xdr:to>
      <xdr:col>2</xdr:col>
      <xdr:colOff>287081</xdr:colOff>
      <xdr:row>59</xdr:row>
      <xdr:rowOff>19050</xdr:rowOff>
    </xdr:to>
    <xdr:sp macro="" textlink="' '!A129">
      <xdr:nvSpPr>
        <xdr:cNvPr id="10" name="Textfeld 9">
          <a:extLst>
            <a:ext uri="{FF2B5EF4-FFF2-40B4-BE49-F238E27FC236}">
              <a16:creationId xmlns:a16="http://schemas.microsoft.com/office/drawing/2014/main" id="{00000000-0008-0000-1900-00000A000000}"/>
            </a:ext>
          </a:extLst>
        </xdr:cNvPr>
        <xdr:cNvSpPr txBox="1"/>
      </xdr:nvSpPr>
      <xdr:spPr>
        <a:xfrm rot="16200000">
          <a:off x="378983" y="15436677"/>
          <a:ext cx="10477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E5AC0A7D-BC79-40BA-B6F2-70801F83E428}" type="TxLink">
            <a:rPr lang="en-US" sz="1400" b="0" i="0" u="none" strike="noStrike">
              <a:solidFill>
                <a:srgbClr val="000000"/>
              </a:solidFill>
              <a:latin typeface="Calibri"/>
            </a:rPr>
            <a:pPr algn="ctr"/>
            <a:t>gering</a:t>
          </a:fld>
          <a:endParaRPr lang="de-CH" sz="1400" b="0"/>
        </a:p>
      </xdr:txBody>
    </xdr:sp>
    <xdr:clientData/>
  </xdr:twoCellAnchor>
  <xdr:twoCellAnchor editAs="oneCell">
    <xdr:from>
      <xdr:col>5</xdr:col>
      <xdr:colOff>2705100</xdr:colOff>
      <xdr:row>60</xdr:row>
      <xdr:rowOff>83776</xdr:rowOff>
    </xdr:from>
    <xdr:to>
      <xdr:col>6</xdr:col>
      <xdr:colOff>400051</xdr:colOff>
      <xdr:row>62</xdr:row>
      <xdr:rowOff>14272</xdr:rowOff>
    </xdr:to>
    <xdr:sp macro="" textlink="' '!A128">
      <xdr:nvSpPr>
        <xdr:cNvPr id="11" name="Textfeld 10">
          <a:extLst>
            <a:ext uri="{FF2B5EF4-FFF2-40B4-BE49-F238E27FC236}">
              <a16:creationId xmlns:a16="http://schemas.microsoft.com/office/drawing/2014/main" id="{00000000-0008-0000-1900-00000B000000}"/>
            </a:ext>
          </a:extLst>
        </xdr:cNvPr>
        <xdr:cNvSpPr txBox="1"/>
      </xdr:nvSpPr>
      <xdr:spPr>
        <a:xfrm>
          <a:off x="7115175" y="16371526"/>
          <a:ext cx="1304926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8F6BF3A6-D9B9-40A6-92B6-8D257A1C3669}" type="TxLink">
            <a:rPr lang="en-US" sz="1400" b="0" i="0" u="none" strike="noStrike">
              <a:solidFill>
                <a:srgbClr val="000000"/>
              </a:solidFill>
              <a:latin typeface="Calibri"/>
            </a:rPr>
            <a:pPr algn="ctr"/>
            <a:t>hoch</a:t>
          </a:fld>
          <a:endParaRPr lang="de-CH" sz="1400" b="0"/>
        </a:p>
      </xdr:txBody>
    </xdr:sp>
    <xdr:clientData/>
  </xdr:twoCellAnchor>
  <xdr:twoCellAnchor editAs="oneCell">
    <xdr:from>
      <xdr:col>2</xdr:col>
      <xdr:colOff>495300</xdr:colOff>
      <xdr:row>60</xdr:row>
      <xdr:rowOff>55201</xdr:rowOff>
    </xdr:from>
    <xdr:to>
      <xdr:col>2</xdr:col>
      <xdr:colOff>1790700</xdr:colOff>
      <xdr:row>61</xdr:row>
      <xdr:rowOff>176197</xdr:rowOff>
    </xdr:to>
    <xdr:sp macro="" textlink="' '!A129">
      <xdr:nvSpPr>
        <xdr:cNvPr id="12" name="Textfeld 1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SpPr txBox="1"/>
      </xdr:nvSpPr>
      <xdr:spPr>
        <a:xfrm>
          <a:off x="1266825" y="16342951"/>
          <a:ext cx="12954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B5FA48B7-3587-4BED-B02E-833F099543A9}" type="TxLink">
            <a:rPr lang="en-US" sz="1400" b="0" i="0" u="none" strike="noStrike">
              <a:solidFill>
                <a:srgbClr val="000000"/>
              </a:solidFill>
              <a:latin typeface="Calibri"/>
            </a:rPr>
            <a:pPr algn="ctr"/>
            <a:t>gering</a:t>
          </a:fld>
          <a:endParaRPr lang="de-CH" sz="1400" b="0"/>
        </a:p>
      </xdr:txBody>
    </xdr:sp>
    <xdr:clientData/>
  </xdr:twoCellAnchor>
  <xdr:twoCellAnchor editAs="oneCell">
    <xdr:from>
      <xdr:col>6</xdr:col>
      <xdr:colOff>314325</xdr:colOff>
      <xdr:row>1</xdr:row>
      <xdr:rowOff>57150</xdr:rowOff>
    </xdr:from>
    <xdr:to>
      <xdr:col>6</xdr:col>
      <xdr:colOff>487125</xdr:colOff>
      <xdr:row>2</xdr:row>
      <xdr:rowOff>48975</xdr:rowOff>
    </xdr:to>
    <xdr:grpSp>
      <xdr:nvGrpSpPr>
        <xdr:cNvPr id="25" name="Gruppieren 2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19000000}"/>
            </a:ext>
          </a:extLst>
        </xdr:cNvPr>
        <xdr:cNvGrpSpPr/>
      </xdr:nvGrpSpPr>
      <xdr:grpSpPr>
        <a:xfrm>
          <a:off x="8559165" y="628650"/>
          <a:ext cx="172800" cy="167085"/>
          <a:chOff x="8105775" y="571500"/>
          <a:chExt cx="172800" cy="172800"/>
        </a:xfrm>
      </xdr:grpSpPr>
      <xdr:sp macro="" textlink="">
        <xdr:nvSpPr>
          <xdr:cNvPr id="26" name="Rechteck 25">
            <a:extLst>
              <a:ext uri="{FF2B5EF4-FFF2-40B4-BE49-F238E27FC236}">
                <a16:creationId xmlns:a16="http://schemas.microsoft.com/office/drawing/2014/main" id="{00000000-0008-0000-1900-00001A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7" name="Textfeld 26">
            <a:extLst>
              <a:ext uri="{FF2B5EF4-FFF2-40B4-BE49-F238E27FC236}">
                <a16:creationId xmlns:a16="http://schemas.microsoft.com/office/drawing/2014/main" id="{00000000-0008-0000-1900-00001B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3</xdr:row>
      <xdr:rowOff>0</xdr:rowOff>
    </xdr:from>
    <xdr:to>
      <xdr:col>0</xdr:col>
      <xdr:colOff>381150</xdr:colOff>
      <xdr:row>3</xdr:row>
      <xdr:rowOff>325465</xdr:rowOff>
    </xdr:to>
    <xdr:grpSp>
      <xdr:nvGrpSpPr>
        <xdr:cNvPr id="31" name="Gruppieren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900-00001F000000}"/>
            </a:ext>
          </a:extLst>
        </xdr:cNvPr>
        <xdr:cNvGrpSpPr/>
      </xdr:nvGrpSpPr>
      <xdr:grpSpPr>
        <a:xfrm>
          <a:off x="57150" y="929640"/>
          <a:ext cx="324000" cy="325465"/>
          <a:chOff x="12382500" y="2152650"/>
          <a:chExt cx="324000" cy="325465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1900-000020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3" name="Grafik 32">
            <a:extLst>
              <a:ext uri="{FF2B5EF4-FFF2-40B4-BE49-F238E27FC236}">
                <a16:creationId xmlns:a16="http://schemas.microsoft.com/office/drawing/2014/main" id="{00000000-0008-0000-1900-00002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57150</xdr:colOff>
      <xdr:row>61</xdr:row>
      <xdr:rowOff>47625</xdr:rowOff>
    </xdr:from>
    <xdr:to>
      <xdr:col>0</xdr:col>
      <xdr:colOff>381150</xdr:colOff>
      <xdr:row>62</xdr:row>
      <xdr:rowOff>182590</xdr:rowOff>
    </xdr:to>
    <xdr:grpSp>
      <xdr:nvGrpSpPr>
        <xdr:cNvPr id="34" name="Gruppieren 3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900-000022000000}"/>
            </a:ext>
          </a:extLst>
        </xdr:cNvPr>
        <xdr:cNvGrpSpPr/>
      </xdr:nvGrpSpPr>
      <xdr:grpSpPr>
        <a:xfrm>
          <a:off x="57150" y="16186785"/>
          <a:ext cx="324000" cy="317845"/>
          <a:chOff x="66675" y="4972050"/>
          <a:chExt cx="324000" cy="325465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1900-00002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6" name="Pfeil nach oben 35">
            <a:extLst>
              <a:ext uri="{FF2B5EF4-FFF2-40B4-BE49-F238E27FC236}">
                <a16:creationId xmlns:a16="http://schemas.microsoft.com/office/drawing/2014/main" id="{00000000-0008-0000-1900-00002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38" name="Gruppieren 3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900-000026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1900-00002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0" name="Pfeil nach links 39">
            <a:extLst>
              <a:ext uri="{FF2B5EF4-FFF2-40B4-BE49-F238E27FC236}">
                <a16:creationId xmlns:a16="http://schemas.microsoft.com/office/drawing/2014/main" id="{00000000-0008-0000-1900-00002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27364</xdr:colOff>
      <xdr:row>27</xdr:row>
      <xdr:rowOff>95250</xdr:rowOff>
    </xdr:from>
    <xdr:to>
      <xdr:col>8</xdr:col>
      <xdr:colOff>228600</xdr:colOff>
      <xdr:row>61</xdr:row>
      <xdr:rowOff>9524</xdr:rowOff>
    </xdr:to>
    <xdr:graphicFrame macro="">
      <xdr:nvGraphicFramePr>
        <xdr:cNvPr id="37" name="Diagramm 36">
          <a:extLst>
            <a:ext uri="{FF2B5EF4-FFF2-40B4-BE49-F238E27FC236}">
              <a16:creationId xmlns:a16="http://schemas.microsoft.com/office/drawing/2014/main" id="{00000000-0008-0000-19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1905000</xdr:colOff>
          <xdr:row>0</xdr:row>
          <xdr:rowOff>9525</xdr:rowOff>
        </xdr:from>
        <xdr:to>
          <xdr:col>7</xdr:col>
          <xdr:colOff>7620</xdr:colOff>
          <xdr:row>0</xdr:row>
          <xdr:rowOff>542925</xdr:rowOff>
        </xdr:to>
        <xdr:pic>
          <xdr:nvPicPr>
            <xdr:cNvPr id="28" name="Grafik 59">
              <a:extLst>
                <a:ext uri="{FF2B5EF4-FFF2-40B4-BE49-F238E27FC236}">
                  <a16:creationId xmlns:a16="http://schemas.microsoft.com/office/drawing/2014/main" id="{00000000-0008-0000-1900-00001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33493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315075" y="9525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342900</xdr:colOff>
      <xdr:row>2</xdr:row>
      <xdr:rowOff>47625</xdr:rowOff>
    </xdr:from>
    <xdr:to>
      <xdr:col>15</xdr:col>
      <xdr:colOff>515700</xdr:colOff>
      <xdr:row>2</xdr:row>
      <xdr:rowOff>220425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pSpPr/>
      </xdr:nvGrpSpPr>
      <xdr:grpSpPr>
        <a:xfrm>
          <a:off x="10919460" y="634365"/>
          <a:ext cx="172800" cy="172800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1A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1A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23</xdr:row>
      <xdr:rowOff>209550</xdr:rowOff>
    </xdr:from>
    <xdr:to>
      <xdr:col>0</xdr:col>
      <xdr:colOff>381150</xdr:colOff>
      <xdr:row>25</xdr:row>
      <xdr:rowOff>58765</xdr:rowOff>
    </xdr:to>
    <xdr:grpSp>
      <xdr:nvGrpSpPr>
        <xdr:cNvPr id="8" name="Gruppieren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GrpSpPr/>
      </xdr:nvGrpSpPr>
      <xdr:grpSpPr>
        <a:xfrm>
          <a:off x="57150" y="7905750"/>
          <a:ext cx="324000" cy="314035"/>
          <a:chOff x="66675" y="497205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A00-00000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oben 9">
            <a:extLst>
              <a:ext uri="{FF2B5EF4-FFF2-40B4-BE49-F238E27FC236}">
                <a16:creationId xmlns:a16="http://schemas.microsoft.com/office/drawing/2014/main" id="{00000000-0008-0000-1A00-00000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>
    <xdr:from>
      <xdr:col>1</xdr:col>
      <xdr:colOff>282565</xdr:colOff>
      <xdr:row>14</xdr:row>
      <xdr:rowOff>3041</xdr:rowOff>
    </xdr:from>
    <xdr:to>
      <xdr:col>3</xdr:col>
      <xdr:colOff>3014</xdr:colOff>
      <xdr:row>15</xdr:row>
      <xdr:rowOff>1702</xdr:rowOff>
    </xdr:to>
    <xdr:grpSp>
      <xdr:nvGrpSpPr>
        <xdr:cNvPr id="11" name="Gruppieren 10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GrpSpPr/>
      </xdr:nvGrpSpPr>
      <xdr:grpSpPr>
        <a:xfrm>
          <a:off x="762625" y="5001761"/>
          <a:ext cx="2029309" cy="897821"/>
          <a:chOff x="751488" y="5007329"/>
          <a:chExt cx="1962488" cy="907200"/>
        </a:xfrm>
      </xdr:grpSpPr>
      <xdr:grpSp>
        <xdr:nvGrpSpPr>
          <xdr:cNvPr id="12" name="Gruppieren 11">
            <a:extLst>
              <a:ext uri="{FF2B5EF4-FFF2-40B4-BE49-F238E27FC236}">
                <a16:creationId xmlns:a16="http://schemas.microsoft.com/office/drawing/2014/main" id="{00000000-0008-0000-1A00-00000C000000}"/>
              </a:ext>
            </a:extLst>
          </xdr:cNvPr>
          <xdr:cNvGrpSpPr/>
        </xdr:nvGrpSpPr>
        <xdr:grpSpPr>
          <a:xfrm>
            <a:off x="751488" y="5007329"/>
            <a:ext cx="1962488" cy="907200"/>
            <a:chOff x="11053912" y="2677754"/>
            <a:chExt cx="1960174" cy="915987"/>
          </a:xfrm>
        </xdr:grpSpPr>
        <xdr:sp macro="" textlink="">
          <xdr:nvSpPr>
            <xdr:cNvPr id="15" name="Rechteck 14">
              <a:extLst>
                <a:ext uri="{FF2B5EF4-FFF2-40B4-BE49-F238E27FC236}">
                  <a16:creationId xmlns:a16="http://schemas.microsoft.com/office/drawing/2014/main" id="{00000000-0008-0000-1A00-00000F000000}"/>
                </a:ext>
              </a:extLst>
            </xdr:cNvPr>
            <xdr:cNvSpPr/>
          </xdr:nvSpPr>
          <xdr:spPr>
            <a:xfrm>
              <a:off x="11053912" y="2677754"/>
              <a:ext cx="1960174" cy="915987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 w="9525">
              <a:solidFill>
                <a:schemeClr val="bg1"/>
              </a:solidFill>
            </a:ln>
          </xdr:spPr>
          <xdr:style>
            <a:lnRef idx="2">
              <a:schemeClr val="accent5"/>
            </a:lnRef>
            <a:fillRef idx="1">
              <a:schemeClr val="lt1"/>
            </a:fillRef>
            <a:effectRef idx="0">
              <a:schemeClr val="accent5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n>
                  <a:noFill/>
                </a:ln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6" name="Gerader Verbinder 15">
              <a:extLst>
                <a:ext uri="{FF2B5EF4-FFF2-40B4-BE49-F238E27FC236}">
                  <a16:creationId xmlns:a16="http://schemas.microsoft.com/office/drawing/2014/main" id="{00000000-0008-0000-1A00-000010000000}"/>
                </a:ext>
              </a:extLst>
            </xdr:cNvPr>
            <xdr:cNvCxnSpPr/>
          </xdr:nvCxnSpPr>
          <xdr:spPr>
            <a:xfrm>
              <a:off x="11060606" y="2688679"/>
              <a:ext cx="1948539" cy="900742"/>
            </a:xfrm>
            <a:prstGeom prst="line">
              <a:avLst/>
            </a:prstGeom>
            <a:noFill/>
            <a:ln w="9525">
              <a:solidFill>
                <a:schemeClr val="bg1"/>
              </a:solidFill>
            </a:ln>
          </xdr:spPr>
          <xdr:style>
            <a:lnRef idx="2">
              <a:schemeClr val="accent5"/>
            </a:lnRef>
            <a:fillRef idx="1">
              <a:schemeClr val="lt1"/>
            </a:fillRef>
            <a:effectRef idx="0">
              <a:schemeClr val="accent5"/>
            </a:effectRef>
            <a:fontRef idx="minor">
              <a:schemeClr val="dk1"/>
            </a:fontRef>
          </xdr:style>
        </xdr:cxnSp>
      </xdr:grpSp>
      <xdr:sp macro="" textlink="' '!A291">
        <xdr:nvSpPr>
          <xdr:cNvPr id="13" name="Textfeld 12">
            <a:extLst>
              <a:ext uri="{FF2B5EF4-FFF2-40B4-BE49-F238E27FC236}">
                <a16:creationId xmlns:a16="http://schemas.microsoft.com/office/drawing/2014/main" id="{00000000-0008-0000-1A00-00000D000000}"/>
              </a:ext>
            </a:extLst>
          </xdr:cNvPr>
          <xdr:cNvSpPr txBox="1"/>
        </xdr:nvSpPr>
        <xdr:spPr>
          <a:xfrm>
            <a:off x="1572269" y="5028279"/>
            <a:ext cx="1063386" cy="1950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spAutoFit/>
          </a:bodyPr>
          <a:lstStyle/>
          <a:p>
            <a:pPr algn="r"/>
            <a:fld id="{61AE7559-FDA7-42C2-AE55-57E2C9EDFEE1}" type="TxLink">
              <a:rPr lang="en-US" sz="1200" b="0" i="0" u="none" strike="noStrike">
                <a:solidFill>
                  <a:schemeClr val="tx2"/>
                </a:solidFill>
                <a:latin typeface="Calibri"/>
              </a:rPr>
              <a:pPr algn="r"/>
              <a:t>Idee</a:t>
            </a:fld>
            <a:endParaRPr lang="de-CH" sz="1200">
              <a:solidFill>
                <a:schemeClr val="tx2"/>
              </a:solidFill>
            </a:endParaRPr>
          </a:p>
        </xdr:txBody>
      </xdr:sp>
      <xdr:sp macro="" textlink="' '!A292">
        <xdr:nvSpPr>
          <xdr:cNvPr id="14" name="Textfeld 13">
            <a:extLst>
              <a:ext uri="{FF2B5EF4-FFF2-40B4-BE49-F238E27FC236}">
                <a16:creationId xmlns:a16="http://schemas.microsoft.com/office/drawing/2014/main" id="{00000000-0008-0000-1A00-00000E000000}"/>
              </a:ext>
            </a:extLst>
          </xdr:cNvPr>
          <xdr:cNvSpPr txBox="1"/>
        </xdr:nvSpPr>
        <xdr:spPr>
          <a:xfrm rot="16200000">
            <a:off x="547898" y="5413958"/>
            <a:ext cx="664310" cy="18787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spAutoFit/>
          </a:bodyPr>
          <a:lstStyle/>
          <a:p>
            <a:pPr marL="0" indent="0"/>
            <a:fld id="{663C0B5F-E8D2-488D-B21E-8C87C23B763C}" type="TxLink">
              <a:rPr lang="en-US" sz="1200" b="0" i="0" u="none" strike="noStrike">
                <a:solidFill>
                  <a:schemeClr val="tx2"/>
                </a:solidFill>
                <a:latin typeface="Calibri"/>
                <a:ea typeface="+mn-ea"/>
                <a:cs typeface="+mn-cs"/>
              </a:rPr>
              <a:pPr marL="0" indent="0"/>
              <a:t>Kriterium</a:t>
            </a:fld>
            <a:endParaRPr lang="de-CH" sz="1200" b="0" i="0" u="none" strike="noStrike">
              <a:solidFill>
                <a:schemeClr val="tx2"/>
              </a:solidFill>
              <a:latin typeface="Calibri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0</xdr:col>
      <xdr:colOff>466723</xdr:colOff>
      <xdr:row>2</xdr:row>
      <xdr:rowOff>275272</xdr:rowOff>
    </xdr:from>
    <xdr:to>
      <xdr:col>15</xdr:col>
      <xdr:colOff>243840</xdr:colOff>
      <xdr:row>13</xdr:row>
      <xdr:rowOff>1840230</xdr:rowOff>
    </xdr:to>
    <xdr:grpSp>
      <xdr:nvGrpSpPr>
        <xdr:cNvPr id="17" name="Gruppieren 16">
          <a:extLst>
            <a:ext uri="{FF2B5EF4-FFF2-40B4-BE49-F238E27FC236}">
              <a16:creationId xmlns:a16="http://schemas.microsoft.com/office/drawing/2014/main" id="{00000000-0008-0000-1A00-000011000000}"/>
            </a:ext>
          </a:extLst>
        </xdr:cNvPr>
        <xdr:cNvGrpSpPr/>
      </xdr:nvGrpSpPr>
      <xdr:grpSpPr>
        <a:xfrm>
          <a:off x="466723" y="862012"/>
          <a:ext cx="10353677" cy="3904298"/>
          <a:chOff x="466723" y="823912"/>
          <a:chExt cx="10353677" cy="3967163"/>
        </a:xfrm>
      </xdr:grpSpPr>
      <xdr:graphicFrame macro="">
        <xdr:nvGraphicFramePr>
          <xdr:cNvPr id="18" name="Diagramm 17">
            <a:extLst>
              <a:ext uri="{FF2B5EF4-FFF2-40B4-BE49-F238E27FC236}">
                <a16:creationId xmlns:a16="http://schemas.microsoft.com/office/drawing/2014/main" id="{00000000-0008-0000-1A00-000012000000}"/>
              </a:ext>
            </a:extLst>
          </xdr:cNvPr>
          <xdr:cNvGraphicFramePr/>
        </xdr:nvGraphicFramePr>
        <xdr:xfrm>
          <a:off x="466723" y="823912"/>
          <a:ext cx="10353677" cy="39671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pSp>
        <xdr:nvGrpSpPr>
          <xdr:cNvPr id="19" name="Gruppieren 18">
            <a:extLst>
              <a:ext uri="{FF2B5EF4-FFF2-40B4-BE49-F238E27FC236}">
                <a16:creationId xmlns:a16="http://schemas.microsoft.com/office/drawing/2014/main" id="{00000000-0008-0000-1A00-000013000000}"/>
              </a:ext>
            </a:extLst>
          </xdr:cNvPr>
          <xdr:cNvGrpSpPr/>
        </xdr:nvGrpSpPr>
        <xdr:grpSpPr>
          <a:xfrm>
            <a:off x="1323975" y="901781"/>
            <a:ext cx="8839200" cy="286394"/>
            <a:chOff x="1323975" y="901781"/>
            <a:chExt cx="8839200" cy="286394"/>
          </a:xfrm>
        </xdr:grpSpPr>
        <xdr:sp macro="" textlink="$F$25">
          <xdr:nvSpPr>
            <xdr:cNvPr id="20" name="Textfeld 19">
              <a:extLst>
                <a:ext uri="{FF2B5EF4-FFF2-40B4-BE49-F238E27FC236}">
                  <a16:creationId xmlns:a16="http://schemas.microsoft.com/office/drawing/2014/main" id="{00000000-0008-0000-1A00-000014000000}"/>
                </a:ext>
              </a:extLst>
            </xdr:cNvPr>
            <xdr:cNvSpPr txBox="1"/>
          </xdr:nvSpPr>
          <xdr:spPr>
            <a:xfrm>
              <a:off x="1323975" y="901781"/>
              <a:ext cx="628650" cy="2863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F08284F0-04C6-4EE2-9FFF-084B3B4D60CE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</a:rPr>
                <a:pPr algn="ctr"/>
                <a:t>311</a:t>
              </a:fld>
              <a:endParaRPr lang="de-CH" sz="1100" b="1">
                <a:solidFill>
                  <a:schemeClr val="accent2"/>
                </a:solidFill>
              </a:endParaRPr>
            </a:p>
          </xdr:txBody>
        </xdr:sp>
        <xdr:sp macro="" textlink="$H$25">
          <xdr:nvSpPr>
            <xdr:cNvPr id="21" name="Textfeld 20">
              <a:extLst>
                <a:ext uri="{FF2B5EF4-FFF2-40B4-BE49-F238E27FC236}">
                  <a16:creationId xmlns:a16="http://schemas.microsoft.com/office/drawing/2014/main" id="{00000000-0008-0000-1A00-000015000000}"/>
                </a:ext>
              </a:extLst>
            </xdr:cNvPr>
            <xdr:cNvSpPr txBox="1"/>
          </xdr:nvSpPr>
          <xdr:spPr>
            <a:xfrm>
              <a:off x="2962275" y="901781"/>
              <a:ext cx="628650" cy="2863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53C13BB0-3821-41B6-A9E8-DD7C64B272CF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</a:rPr>
                <a:pPr algn="ctr"/>
                <a:t>246</a:t>
              </a:fld>
              <a:endParaRPr lang="de-CH" sz="1100" b="1">
                <a:solidFill>
                  <a:schemeClr val="accent2"/>
                </a:solidFill>
              </a:endParaRPr>
            </a:p>
          </xdr:txBody>
        </xdr:sp>
        <xdr:sp macro="" textlink="$J$25">
          <xdr:nvSpPr>
            <xdr:cNvPr id="22" name="Textfeld 21">
              <a:extLst>
                <a:ext uri="{FF2B5EF4-FFF2-40B4-BE49-F238E27FC236}">
                  <a16:creationId xmlns:a16="http://schemas.microsoft.com/office/drawing/2014/main" id="{00000000-0008-0000-1A00-000016000000}"/>
                </a:ext>
              </a:extLst>
            </xdr:cNvPr>
            <xdr:cNvSpPr txBox="1"/>
          </xdr:nvSpPr>
          <xdr:spPr>
            <a:xfrm>
              <a:off x="4600575" y="901781"/>
              <a:ext cx="628650" cy="2863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7BD00C7D-AD7B-467C-A294-29CFF9C252B7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</a:rPr>
                <a:pPr algn="ctr"/>
                <a:t>224</a:t>
              </a:fld>
              <a:endParaRPr lang="de-CH" sz="1100" b="1">
                <a:solidFill>
                  <a:schemeClr val="accent2"/>
                </a:solidFill>
              </a:endParaRPr>
            </a:p>
          </xdr:txBody>
        </xdr:sp>
        <xdr:sp macro="" textlink="$L$25">
          <xdr:nvSpPr>
            <xdr:cNvPr id="23" name="Textfeld 22">
              <a:extLst>
                <a:ext uri="{FF2B5EF4-FFF2-40B4-BE49-F238E27FC236}">
                  <a16:creationId xmlns:a16="http://schemas.microsoft.com/office/drawing/2014/main" id="{00000000-0008-0000-1A00-000017000000}"/>
                </a:ext>
              </a:extLst>
            </xdr:cNvPr>
            <xdr:cNvSpPr txBox="1"/>
          </xdr:nvSpPr>
          <xdr:spPr>
            <a:xfrm>
              <a:off x="6257925" y="901781"/>
              <a:ext cx="628650" cy="2863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indent="0" algn="ctr"/>
              <a:fld id="{B186039F-A0E7-4824-A67B-BD5C2D25AC41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  <a:ea typeface="+mn-ea"/>
                  <a:cs typeface="+mn-cs"/>
                </a:rPr>
                <a:pPr marL="0" indent="0" algn="ctr"/>
                <a:t>201</a:t>
              </a:fld>
              <a:endParaRPr lang="de-CH" sz="1200" b="1" i="0" u="none" strike="noStrike">
                <a:solidFill>
                  <a:schemeClr val="accent2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$N$25">
          <xdr:nvSpPr>
            <xdr:cNvPr id="24" name="Textfeld 23">
              <a:extLst>
                <a:ext uri="{FF2B5EF4-FFF2-40B4-BE49-F238E27FC236}">
                  <a16:creationId xmlns:a16="http://schemas.microsoft.com/office/drawing/2014/main" id="{00000000-0008-0000-1A00-000018000000}"/>
                </a:ext>
              </a:extLst>
            </xdr:cNvPr>
            <xdr:cNvSpPr txBox="1"/>
          </xdr:nvSpPr>
          <xdr:spPr>
            <a:xfrm>
              <a:off x="7896225" y="901781"/>
              <a:ext cx="628650" cy="2863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indent="0" algn="ctr"/>
              <a:fld id="{E3C91891-0B99-42D4-8F7C-C64D413C62F3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  <a:ea typeface="+mn-ea"/>
                  <a:cs typeface="+mn-cs"/>
                </a:rPr>
                <a:pPr marL="0" indent="0" algn="ctr"/>
                <a:t>174</a:t>
              </a:fld>
              <a:endParaRPr lang="de-CH" sz="1200" b="1" i="0" u="none" strike="noStrike">
                <a:solidFill>
                  <a:schemeClr val="accent2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$P$25">
          <xdr:nvSpPr>
            <xdr:cNvPr id="25" name="Textfeld 24">
              <a:extLst>
                <a:ext uri="{FF2B5EF4-FFF2-40B4-BE49-F238E27FC236}">
                  <a16:creationId xmlns:a16="http://schemas.microsoft.com/office/drawing/2014/main" id="{00000000-0008-0000-1A00-000019000000}"/>
                </a:ext>
              </a:extLst>
            </xdr:cNvPr>
            <xdr:cNvSpPr txBox="1"/>
          </xdr:nvSpPr>
          <xdr:spPr>
            <a:xfrm>
              <a:off x="9534525" y="901781"/>
              <a:ext cx="628650" cy="2863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indent="0" algn="ctr"/>
              <a:fld id="{90422D15-6717-43D4-9F6A-15A313FFBFE2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  <a:ea typeface="+mn-ea"/>
                  <a:cs typeface="+mn-cs"/>
                </a:rPr>
                <a:pPr marL="0" indent="0" algn="ctr"/>
                <a:t>231</a:t>
              </a:fld>
              <a:endParaRPr lang="de-CH" sz="1200" b="1" i="0" u="none" strike="noStrike">
                <a:solidFill>
                  <a:schemeClr val="accent2"/>
                </a:solidFill>
                <a:latin typeface="Calibri"/>
                <a:ea typeface="+mn-ea"/>
                <a:cs typeface="+mn-cs"/>
              </a:endParaRPr>
            </a:p>
          </xdr:txBody>
        </xdr:sp>
      </xdr:grpSp>
    </xdr:grpSp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26" name="Gruppieren 2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A00-00001A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1A00-00001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8" name="Pfeil nach links 27">
            <a:extLst>
              <a:ext uri="{FF2B5EF4-FFF2-40B4-BE49-F238E27FC236}">
                <a16:creationId xmlns:a16="http://schemas.microsoft.com/office/drawing/2014/main" id="{00000000-0008-0000-1A00-00001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352425</xdr:colOff>
          <xdr:row>0</xdr:row>
          <xdr:rowOff>19050</xdr:rowOff>
        </xdr:from>
        <xdr:to>
          <xdr:col>16</xdr:col>
          <xdr:colOff>7620</xdr:colOff>
          <xdr:row>0</xdr:row>
          <xdr:rowOff>552450</xdr:rowOff>
        </xdr:to>
        <xdr:pic>
          <xdr:nvPicPr>
            <xdr:cNvPr id="29" name="Grafik 59">
              <a:extLst>
                <a:ext uri="{FF2B5EF4-FFF2-40B4-BE49-F238E27FC236}">
                  <a16:creationId xmlns:a16="http://schemas.microsoft.com/office/drawing/2014/main" id="{00000000-0008-0000-1A00-00001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34517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50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777240</xdr:colOff>
      <xdr:row>1</xdr:row>
      <xdr:rowOff>57150</xdr:rowOff>
    </xdr:from>
    <xdr:to>
      <xdr:col>10</xdr:col>
      <xdr:colOff>950040</xdr:colOff>
      <xdr:row>1</xdr:row>
      <xdr:rowOff>229950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pSpPr/>
      </xdr:nvGrpSpPr>
      <xdr:grpSpPr>
        <a:xfrm>
          <a:off x="10294620" y="628650"/>
          <a:ext cx="172800" cy="172800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1B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1B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1" name="Gruppieren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B00-00000B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links 12">
            <a:extLst>
              <a:ext uri="{FF2B5EF4-FFF2-40B4-BE49-F238E27FC236}">
                <a16:creationId xmlns:a16="http://schemas.microsoft.com/office/drawing/2014/main" id="{00000000-0008-0000-1B00-00000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647700</xdr:colOff>
          <xdr:row>0</xdr:row>
          <xdr:rowOff>19050</xdr:rowOff>
        </xdr:from>
        <xdr:to>
          <xdr:col>10</xdr:col>
          <xdr:colOff>950595</xdr:colOff>
          <xdr:row>0</xdr:row>
          <xdr:rowOff>552450</xdr:rowOff>
        </xdr:to>
        <xdr:pic>
          <xdr:nvPicPr>
            <xdr:cNvPr id="8" name="Grafik 59">
              <a:extLst>
                <a:ext uri="{FF2B5EF4-FFF2-40B4-BE49-F238E27FC236}">
                  <a16:creationId xmlns:a16="http://schemas.microsoft.com/office/drawing/2014/main" id="{00000000-0008-0000-1B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35541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7981950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212725</xdr:colOff>
      <xdr:row>3</xdr:row>
      <xdr:rowOff>38100</xdr:rowOff>
    </xdr:from>
    <xdr:to>
      <xdr:col>13</xdr:col>
      <xdr:colOff>466725</xdr:colOff>
      <xdr:row>29</xdr:row>
      <xdr:rowOff>104775</xdr:rowOff>
    </xdr:to>
    <xdr:graphicFrame macro="">
      <xdr:nvGraphicFramePr>
        <xdr:cNvPr id="1025" name="Diagramm 1">
          <a:extLst>
            <a:ext uri="{FF2B5EF4-FFF2-40B4-BE49-F238E27FC236}">
              <a16:creationId xmlns:a16="http://schemas.microsoft.com/office/drawing/2014/main" id="{00000000-0008-0000-1C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300990</xdr:colOff>
      <xdr:row>1</xdr:row>
      <xdr:rowOff>57150</xdr:rowOff>
    </xdr:from>
    <xdr:to>
      <xdr:col>13</xdr:col>
      <xdr:colOff>473790</xdr:colOff>
      <xdr:row>2</xdr:row>
      <xdr:rowOff>48975</xdr:rowOff>
    </xdr:to>
    <xdr:grpSp>
      <xdr:nvGrpSpPr>
        <xdr:cNvPr id="6" name="Gruppieren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GrpSpPr/>
      </xdr:nvGrpSpPr>
      <xdr:grpSpPr>
        <a:xfrm>
          <a:off x="9833610" y="628650"/>
          <a:ext cx="172800" cy="167085"/>
          <a:chOff x="8105775" y="571500"/>
          <a:chExt cx="172800" cy="172800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1C00-000007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Textfeld 7">
            <a:extLst>
              <a:ext uri="{FF2B5EF4-FFF2-40B4-BE49-F238E27FC236}">
                <a16:creationId xmlns:a16="http://schemas.microsoft.com/office/drawing/2014/main" id="{00000000-0008-0000-1C00-000008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9" name="Gruppieren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C00-000009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1C00-00000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" name="Pfeil nach links 10">
            <a:extLst>
              <a:ext uri="{FF2B5EF4-FFF2-40B4-BE49-F238E27FC236}">
                <a16:creationId xmlns:a16="http://schemas.microsoft.com/office/drawing/2014/main" id="{00000000-0008-0000-1C00-00000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0</xdr:row>
          <xdr:rowOff>19050</xdr:rowOff>
        </xdr:from>
        <xdr:to>
          <xdr:col>13</xdr:col>
          <xdr:colOff>521970</xdr:colOff>
          <xdr:row>0</xdr:row>
          <xdr:rowOff>552450</xdr:rowOff>
        </xdr:to>
        <xdr:pic>
          <xdr:nvPicPr>
            <xdr:cNvPr id="12" name="Grafik 59">
              <a:extLst>
                <a:ext uri="{FF2B5EF4-FFF2-40B4-BE49-F238E27FC236}">
                  <a16:creationId xmlns:a16="http://schemas.microsoft.com/office/drawing/2014/main" id="{00000000-0008-0000-1C00-00000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36565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59142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219075</xdr:colOff>
      <xdr:row>2</xdr:row>
      <xdr:rowOff>47625</xdr:rowOff>
    </xdr:from>
    <xdr:to>
      <xdr:col>8</xdr:col>
      <xdr:colOff>391875</xdr:colOff>
      <xdr:row>2</xdr:row>
      <xdr:rowOff>220425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pSpPr/>
      </xdr:nvGrpSpPr>
      <xdr:grpSpPr>
        <a:xfrm>
          <a:off x="10841355" y="634365"/>
          <a:ext cx="172800" cy="172800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1D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1D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30</xdr:row>
      <xdr:rowOff>266700</xdr:rowOff>
    </xdr:from>
    <xdr:to>
      <xdr:col>0</xdr:col>
      <xdr:colOff>381150</xdr:colOff>
      <xdr:row>32</xdr:row>
      <xdr:rowOff>1615</xdr:rowOff>
    </xdr:to>
    <xdr:grpSp>
      <xdr:nvGrpSpPr>
        <xdr:cNvPr id="8" name="Gruppieren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GrpSpPr/>
      </xdr:nvGrpSpPr>
      <xdr:grpSpPr>
        <a:xfrm>
          <a:off x="57150" y="10607040"/>
          <a:ext cx="324000" cy="329275"/>
          <a:chOff x="66675" y="497205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D00-00000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oben 9">
            <a:extLst>
              <a:ext uri="{FF2B5EF4-FFF2-40B4-BE49-F238E27FC236}">
                <a16:creationId xmlns:a16="http://schemas.microsoft.com/office/drawing/2014/main" id="{00000000-0008-0000-1D00-00000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17</xdr:row>
      <xdr:rowOff>209550</xdr:rowOff>
    </xdr:from>
    <xdr:to>
      <xdr:col>0</xdr:col>
      <xdr:colOff>381150</xdr:colOff>
      <xdr:row>19</xdr:row>
      <xdr:rowOff>1615</xdr:rowOff>
    </xdr:to>
    <xdr:grpSp>
      <xdr:nvGrpSpPr>
        <xdr:cNvPr id="11" name="Gruppieren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0B000000}"/>
            </a:ext>
          </a:extLst>
        </xdr:cNvPr>
        <xdr:cNvGrpSpPr/>
      </xdr:nvGrpSpPr>
      <xdr:grpSpPr>
        <a:xfrm>
          <a:off x="57150" y="6976110"/>
          <a:ext cx="324000" cy="325465"/>
          <a:chOff x="66675" y="497205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D00-00000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oben 12">
            <a:extLst>
              <a:ext uri="{FF2B5EF4-FFF2-40B4-BE49-F238E27FC236}">
                <a16:creationId xmlns:a16="http://schemas.microsoft.com/office/drawing/2014/main" id="{00000000-0008-0000-1D00-00000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45</xdr:row>
      <xdr:rowOff>209550</xdr:rowOff>
    </xdr:from>
    <xdr:to>
      <xdr:col>0</xdr:col>
      <xdr:colOff>381150</xdr:colOff>
      <xdr:row>47</xdr:row>
      <xdr:rowOff>1615</xdr:rowOff>
    </xdr:to>
    <xdr:grpSp>
      <xdr:nvGrpSpPr>
        <xdr:cNvPr id="14" name="Gruppieren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0E000000}"/>
            </a:ext>
          </a:extLst>
        </xdr:cNvPr>
        <xdr:cNvGrpSpPr/>
      </xdr:nvGrpSpPr>
      <xdr:grpSpPr>
        <a:xfrm>
          <a:off x="57150" y="14718030"/>
          <a:ext cx="324000" cy="325465"/>
          <a:chOff x="66675" y="4972050"/>
          <a:chExt cx="324000" cy="325465"/>
        </a:xfrm>
      </xdr:grpSpPr>
      <xdr:sp macro="" textlink="">
        <xdr:nvSpPr>
          <xdr:cNvPr id="15" name="Rechteck 14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" name="Pfeil nach oben 15">
            <a:extLst>
              <a:ext uri="{FF2B5EF4-FFF2-40B4-BE49-F238E27FC236}">
                <a16:creationId xmlns:a16="http://schemas.microsoft.com/office/drawing/2014/main" id="{00000000-0008-0000-1D00-000010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59</xdr:row>
      <xdr:rowOff>209550</xdr:rowOff>
    </xdr:from>
    <xdr:to>
      <xdr:col>0</xdr:col>
      <xdr:colOff>381150</xdr:colOff>
      <xdr:row>61</xdr:row>
      <xdr:rowOff>1615</xdr:rowOff>
    </xdr:to>
    <xdr:grpSp>
      <xdr:nvGrpSpPr>
        <xdr:cNvPr id="17" name="Gruppieren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11000000}"/>
            </a:ext>
          </a:extLst>
        </xdr:cNvPr>
        <xdr:cNvGrpSpPr/>
      </xdr:nvGrpSpPr>
      <xdr:grpSpPr>
        <a:xfrm>
          <a:off x="57150" y="18588990"/>
          <a:ext cx="324000" cy="325465"/>
          <a:chOff x="66675" y="4972050"/>
          <a:chExt cx="324000" cy="325465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1D00-000012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" name="Pfeil nach oben 18">
            <a:extLst>
              <a:ext uri="{FF2B5EF4-FFF2-40B4-BE49-F238E27FC236}">
                <a16:creationId xmlns:a16="http://schemas.microsoft.com/office/drawing/2014/main" id="{00000000-0008-0000-1D00-000013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73</xdr:row>
      <xdr:rowOff>209550</xdr:rowOff>
    </xdr:from>
    <xdr:to>
      <xdr:col>0</xdr:col>
      <xdr:colOff>381150</xdr:colOff>
      <xdr:row>75</xdr:row>
      <xdr:rowOff>1615</xdr:rowOff>
    </xdr:to>
    <xdr:grpSp>
      <xdr:nvGrpSpPr>
        <xdr:cNvPr id="20" name="Gruppieren 1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14000000}"/>
            </a:ext>
          </a:extLst>
        </xdr:cNvPr>
        <xdr:cNvGrpSpPr/>
      </xdr:nvGrpSpPr>
      <xdr:grpSpPr>
        <a:xfrm>
          <a:off x="57150" y="22459950"/>
          <a:ext cx="324000" cy="325465"/>
          <a:chOff x="66675" y="4972050"/>
          <a:chExt cx="324000" cy="325465"/>
        </a:xfrm>
      </xdr:grpSpPr>
      <xdr:sp macro="" textlink="">
        <xdr:nvSpPr>
          <xdr:cNvPr id="21" name="Rechteck 20">
            <a:extLst>
              <a:ext uri="{FF2B5EF4-FFF2-40B4-BE49-F238E27FC236}">
                <a16:creationId xmlns:a16="http://schemas.microsoft.com/office/drawing/2014/main" id="{00000000-0008-0000-1D00-000015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" name="Pfeil nach oben 21">
            <a:extLst>
              <a:ext uri="{FF2B5EF4-FFF2-40B4-BE49-F238E27FC236}">
                <a16:creationId xmlns:a16="http://schemas.microsoft.com/office/drawing/2014/main" id="{00000000-0008-0000-1D00-000016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87</xdr:row>
      <xdr:rowOff>209550</xdr:rowOff>
    </xdr:from>
    <xdr:to>
      <xdr:col>0</xdr:col>
      <xdr:colOff>381150</xdr:colOff>
      <xdr:row>89</xdr:row>
      <xdr:rowOff>1615</xdr:rowOff>
    </xdr:to>
    <xdr:grpSp>
      <xdr:nvGrpSpPr>
        <xdr:cNvPr id="23" name="Gruppieren 2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17000000}"/>
            </a:ext>
          </a:extLst>
        </xdr:cNvPr>
        <xdr:cNvGrpSpPr/>
      </xdr:nvGrpSpPr>
      <xdr:grpSpPr>
        <a:xfrm>
          <a:off x="57150" y="26330910"/>
          <a:ext cx="324000" cy="325465"/>
          <a:chOff x="66675" y="4972050"/>
          <a:chExt cx="324000" cy="325465"/>
        </a:xfrm>
      </xdr:grpSpPr>
      <xdr:sp macro="" textlink="">
        <xdr:nvSpPr>
          <xdr:cNvPr id="24" name="Rechteck 23">
            <a:extLst>
              <a:ext uri="{FF2B5EF4-FFF2-40B4-BE49-F238E27FC236}">
                <a16:creationId xmlns:a16="http://schemas.microsoft.com/office/drawing/2014/main" id="{00000000-0008-0000-1D00-000018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5" name="Pfeil nach oben 24">
            <a:extLst>
              <a:ext uri="{FF2B5EF4-FFF2-40B4-BE49-F238E27FC236}">
                <a16:creationId xmlns:a16="http://schemas.microsoft.com/office/drawing/2014/main" id="{00000000-0008-0000-1D00-000019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1</xdr:col>
      <xdr:colOff>0</xdr:colOff>
      <xdr:row>2</xdr:row>
      <xdr:rowOff>134318</xdr:rowOff>
    </xdr:from>
    <xdr:to>
      <xdr:col>2</xdr:col>
      <xdr:colOff>1306530</xdr:colOff>
      <xdr:row>4</xdr:row>
      <xdr:rowOff>28575</xdr:rowOff>
    </xdr:to>
    <xdr:grpSp>
      <xdr:nvGrpSpPr>
        <xdr:cNvPr id="32" name="Gruppieren 3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D00-000020000000}"/>
            </a:ext>
          </a:extLst>
        </xdr:cNvPr>
        <xdr:cNvGrpSpPr/>
      </xdr:nvGrpSpPr>
      <xdr:grpSpPr>
        <a:xfrm>
          <a:off x="480060" y="721058"/>
          <a:ext cx="1603710" cy="2728897"/>
          <a:chOff x="466725" y="1840323"/>
          <a:chExt cx="1250969" cy="2403626"/>
        </a:xfrm>
      </xdr:grpSpPr>
      <xdr:graphicFrame macro="">
        <xdr:nvGraphicFramePr>
          <xdr:cNvPr id="33" name="Diagramm 32">
            <a:extLst>
              <a:ext uri="{FF2B5EF4-FFF2-40B4-BE49-F238E27FC236}">
                <a16:creationId xmlns:a16="http://schemas.microsoft.com/office/drawing/2014/main" id="{00000000-0008-0000-1D00-000021000000}"/>
              </a:ext>
            </a:extLst>
          </xdr:cNvPr>
          <xdr:cNvGraphicFramePr>
            <a:graphicFrameLocks/>
          </xdr:cNvGraphicFramePr>
        </xdr:nvGraphicFramePr>
        <xdr:xfrm>
          <a:off x="466725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' '!A275">
        <xdr:nvSpPr>
          <xdr:cNvPr id="34" name="Freihandform 33">
            <a:extLst>
              <a:ext uri="{FF2B5EF4-FFF2-40B4-BE49-F238E27FC236}">
                <a16:creationId xmlns:a16="http://schemas.microsoft.com/office/drawing/2014/main" id="{00000000-0008-0000-1D00-000022000000}"/>
              </a:ext>
            </a:extLst>
          </xdr:cNvPr>
          <xdr:cNvSpPr/>
        </xdr:nvSpPr>
        <xdr:spPr>
          <a:xfrm rot="17700000">
            <a:off x="7786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25B5BB03-EBF9-4655-AEBD-2146729493B2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Intern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2</xdr:col>
      <xdr:colOff>1447479</xdr:colOff>
      <xdr:row>2</xdr:row>
      <xdr:rowOff>134318</xdr:rowOff>
    </xdr:from>
    <xdr:to>
      <xdr:col>4</xdr:col>
      <xdr:colOff>763284</xdr:colOff>
      <xdr:row>4</xdr:row>
      <xdr:rowOff>28575</xdr:rowOff>
    </xdr:to>
    <xdr:grpSp>
      <xdr:nvGrpSpPr>
        <xdr:cNvPr id="35" name="Gruppieren 3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D00-000023000000}"/>
            </a:ext>
          </a:extLst>
        </xdr:cNvPr>
        <xdr:cNvGrpSpPr/>
      </xdr:nvGrpSpPr>
      <xdr:grpSpPr>
        <a:xfrm>
          <a:off x="2224719" y="721058"/>
          <a:ext cx="1655145" cy="2728897"/>
          <a:chOff x="1752279" y="1840323"/>
          <a:chExt cx="1250969" cy="2403626"/>
        </a:xfrm>
      </xdr:grpSpPr>
      <xdr:graphicFrame macro="">
        <xdr:nvGraphicFramePr>
          <xdr:cNvPr id="36" name="Diagramm 35">
            <a:extLst>
              <a:ext uri="{FF2B5EF4-FFF2-40B4-BE49-F238E27FC236}">
                <a16:creationId xmlns:a16="http://schemas.microsoft.com/office/drawing/2014/main" id="{00000000-0008-0000-1D00-000024000000}"/>
              </a:ext>
            </a:extLst>
          </xdr:cNvPr>
          <xdr:cNvGraphicFramePr>
            <a:graphicFrameLocks/>
          </xdr:cNvGraphicFramePr>
        </xdr:nvGraphicFramePr>
        <xdr:xfrm>
          <a:off x="1752279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' '!A276">
        <xdr:nvSpPr>
          <xdr:cNvPr id="37" name="Freihandform 36">
            <a:extLst>
              <a:ext uri="{FF2B5EF4-FFF2-40B4-BE49-F238E27FC236}">
                <a16:creationId xmlns:a16="http://schemas.microsoft.com/office/drawing/2014/main" id="{00000000-0008-0000-1D00-000025000000}"/>
              </a:ext>
            </a:extLst>
          </xdr:cNvPr>
          <xdr:cNvSpPr/>
        </xdr:nvSpPr>
        <xdr:spPr>
          <a:xfrm rot="17700000">
            <a:off x="20692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DC2A1051-E2C5-468E-B33C-CE0C13B66D8A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Extern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4</xdr:col>
      <xdr:colOff>904233</xdr:colOff>
      <xdr:row>2</xdr:row>
      <xdr:rowOff>134318</xdr:rowOff>
    </xdr:from>
    <xdr:to>
      <xdr:col>5</xdr:col>
      <xdr:colOff>220038</xdr:colOff>
      <xdr:row>4</xdr:row>
      <xdr:rowOff>28575</xdr:rowOff>
    </xdr:to>
    <xdr:grpSp>
      <xdr:nvGrpSpPr>
        <xdr:cNvPr id="38" name="Gruppieren 3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D00-000026000000}"/>
            </a:ext>
          </a:extLst>
        </xdr:cNvPr>
        <xdr:cNvGrpSpPr/>
      </xdr:nvGrpSpPr>
      <xdr:grpSpPr>
        <a:xfrm>
          <a:off x="4020813" y="721058"/>
          <a:ext cx="1655145" cy="2728897"/>
          <a:chOff x="3037833" y="1840323"/>
          <a:chExt cx="1250969" cy="2403626"/>
        </a:xfrm>
      </xdr:grpSpPr>
      <xdr:graphicFrame macro="">
        <xdr:nvGraphicFramePr>
          <xdr:cNvPr id="39" name="Diagramm 38">
            <a:extLst>
              <a:ext uri="{FF2B5EF4-FFF2-40B4-BE49-F238E27FC236}">
                <a16:creationId xmlns:a16="http://schemas.microsoft.com/office/drawing/2014/main" id="{00000000-0008-0000-1D00-000027000000}"/>
              </a:ext>
            </a:extLst>
          </xdr:cNvPr>
          <xdr:cNvGraphicFramePr>
            <a:graphicFrameLocks/>
          </xdr:cNvGraphicFramePr>
        </xdr:nvGraphicFramePr>
        <xdr:xfrm>
          <a:off x="3037833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' '!A277">
        <xdr:nvSpPr>
          <xdr:cNvPr id="40" name="Freihandform 39">
            <a:extLst>
              <a:ext uri="{FF2B5EF4-FFF2-40B4-BE49-F238E27FC236}">
                <a16:creationId xmlns:a16="http://schemas.microsoft.com/office/drawing/2014/main" id="{00000000-0008-0000-1D00-000028000000}"/>
              </a:ext>
            </a:extLst>
          </xdr:cNvPr>
          <xdr:cNvSpPr/>
        </xdr:nvSpPr>
        <xdr:spPr>
          <a:xfrm rot="17700000">
            <a:off x="33598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0CE3DB84-361C-43FD-B6A2-087EA61032D2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Internet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5</xdr:col>
      <xdr:colOff>360987</xdr:colOff>
      <xdr:row>2</xdr:row>
      <xdr:rowOff>14098</xdr:rowOff>
    </xdr:from>
    <xdr:to>
      <xdr:col>5</xdr:col>
      <xdr:colOff>1953267</xdr:colOff>
      <xdr:row>4</xdr:row>
      <xdr:rowOff>28575</xdr:rowOff>
    </xdr:to>
    <xdr:grpSp>
      <xdr:nvGrpSpPr>
        <xdr:cNvPr id="41" name="Gruppieren 4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D00-000029000000}"/>
            </a:ext>
          </a:extLst>
        </xdr:cNvPr>
        <xdr:cNvGrpSpPr/>
      </xdr:nvGrpSpPr>
      <xdr:grpSpPr>
        <a:xfrm>
          <a:off x="5816907" y="600838"/>
          <a:ext cx="1592280" cy="2849117"/>
          <a:chOff x="4323387" y="1734580"/>
          <a:chExt cx="1250969" cy="2509369"/>
        </a:xfrm>
      </xdr:grpSpPr>
      <xdr:graphicFrame macro="">
        <xdr:nvGraphicFramePr>
          <xdr:cNvPr id="42" name="Diagramm 41">
            <a:extLst>
              <a:ext uri="{FF2B5EF4-FFF2-40B4-BE49-F238E27FC236}">
                <a16:creationId xmlns:a16="http://schemas.microsoft.com/office/drawing/2014/main" id="{00000000-0008-0000-1D00-00002A000000}"/>
              </a:ext>
            </a:extLst>
          </xdr:cNvPr>
          <xdr:cNvGraphicFramePr>
            <a:graphicFrameLocks/>
          </xdr:cNvGraphicFramePr>
        </xdr:nvGraphicFramePr>
        <xdr:xfrm>
          <a:off x="4323387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sp macro="" textlink="' '!A278">
        <xdr:nvSpPr>
          <xdr:cNvPr id="43" name="Freihandform 42">
            <a:extLst>
              <a:ext uri="{FF2B5EF4-FFF2-40B4-BE49-F238E27FC236}">
                <a16:creationId xmlns:a16="http://schemas.microsoft.com/office/drawing/2014/main" id="{00000000-0008-0000-1D00-00002B000000}"/>
              </a:ext>
            </a:extLst>
          </xdr:cNvPr>
          <xdr:cNvSpPr/>
        </xdr:nvSpPr>
        <xdr:spPr>
          <a:xfrm rot="17700000">
            <a:off x="4594987" y="2079625"/>
            <a:ext cx="122882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7A8FCDC5-3318-462A-A5F9-8AB255FDA6B9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Social Medias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5</xdr:col>
      <xdr:colOff>2094216</xdr:colOff>
      <xdr:row>2</xdr:row>
      <xdr:rowOff>134318</xdr:rowOff>
    </xdr:from>
    <xdr:to>
      <xdr:col>7</xdr:col>
      <xdr:colOff>600396</xdr:colOff>
      <xdr:row>4</xdr:row>
      <xdr:rowOff>28575</xdr:rowOff>
    </xdr:to>
    <xdr:grpSp>
      <xdr:nvGrpSpPr>
        <xdr:cNvPr id="44" name="Gruppieren 4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D00-00002C000000}"/>
            </a:ext>
          </a:extLst>
        </xdr:cNvPr>
        <xdr:cNvGrpSpPr/>
      </xdr:nvGrpSpPr>
      <xdr:grpSpPr>
        <a:xfrm>
          <a:off x="7550136" y="721058"/>
          <a:ext cx="1676100" cy="2728897"/>
          <a:chOff x="5608941" y="1840323"/>
          <a:chExt cx="1250969" cy="2403626"/>
        </a:xfrm>
      </xdr:grpSpPr>
      <xdr:graphicFrame macro="">
        <xdr:nvGraphicFramePr>
          <xdr:cNvPr id="45" name="Diagramm 44">
            <a:extLst>
              <a:ext uri="{FF2B5EF4-FFF2-40B4-BE49-F238E27FC236}">
                <a16:creationId xmlns:a16="http://schemas.microsoft.com/office/drawing/2014/main" id="{00000000-0008-0000-1D00-00002D000000}"/>
              </a:ext>
            </a:extLst>
          </xdr:cNvPr>
          <xdr:cNvGraphicFramePr>
            <a:graphicFrameLocks/>
          </xdr:cNvGraphicFramePr>
        </xdr:nvGraphicFramePr>
        <xdr:xfrm>
          <a:off x="5608941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  <xdr:sp macro="" textlink="' '!A279">
        <xdr:nvSpPr>
          <xdr:cNvPr id="46" name="Freihandform 45">
            <a:extLst>
              <a:ext uri="{FF2B5EF4-FFF2-40B4-BE49-F238E27FC236}">
                <a16:creationId xmlns:a16="http://schemas.microsoft.com/office/drawing/2014/main" id="{00000000-0008-0000-1D00-00002E000000}"/>
              </a:ext>
            </a:extLst>
          </xdr:cNvPr>
          <xdr:cNvSpPr/>
        </xdr:nvSpPr>
        <xdr:spPr>
          <a:xfrm rot="17700000">
            <a:off x="59410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BA5F05F2-4742-4387-9488-95A4A89B9E82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Public Relations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7</xdr:col>
      <xdr:colOff>741345</xdr:colOff>
      <xdr:row>2</xdr:row>
      <xdr:rowOff>134318</xdr:rowOff>
    </xdr:from>
    <xdr:to>
      <xdr:col>8</xdr:col>
      <xdr:colOff>390525</xdr:colOff>
      <xdr:row>4</xdr:row>
      <xdr:rowOff>28575</xdr:rowOff>
    </xdr:to>
    <xdr:grpSp>
      <xdr:nvGrpSpPr>
        <xdr:cNvPr id="50" name="Gruppieren 49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1D00-000032000000}"/>
            </a:ext>
          </a:extLst>
        </xdr:cNvPr>
        <xdr:cNvGrpSpPr/>
      </xdr:nvGrpSpPr>
      <xdr:grpSpPr>
        <a:xfrm>
          <a:off x="9367185" y="721058"/>
          <a:ext cx="1645620" cy="2728897"/>
          <a:chOff x="6894495" y="1840323"/>
          <a:chExt cx="1250969" cy="2403626"/>
        </a:xfrm>
      </xdr:grpSpPr>
      <xdr:sp macro="" textlink="' '!A280">
        <xdr:nvSpPr>
          <xdr:cNvPr id="51" name="Freihandform 50">
            <a:extLst>
              <a:ext uri="{FF2B5EF4-FFF2-40B4-BE49-F238E27FC236}">
                <a16:creationId xmlns:a16="http://schemas.microsoft.com/office/drawing/2014/main" id="{00000000-0008-0000-1D00-000033000000}"/>
              </a:ext>
            </a:extLst>
          </xdr:cNvPr>
          <xdr:cNvSpPr/>
        </xdr:nvSpPr>
        <xdr:spPr>
          <a:xfrm rot="17700000">
            <a:off x="72316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5277DBC0-376E-4631-84B0-652835720CD0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Diverses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  <xdr:graphicFrame macro="">
        <xdr:nvGraphicFramePr>
          <xdr:cNvPr id="52" name="Diagramm 51">
            <a:extLst>
              <a:ext uri="{FF2B5EF4-FFF2-40B4-BE49-F238E27FC236}">
                <a16:creationId xmlns:a16="http://schemas.microsoft.com/office/drawing/2014/main" id="{00000000-0008-0000-1D00-000034000000}"/>
              </a:ext>
            </a:extLst>
          </xdr:cNvPr>
          <xdr:cNvGraphicFramePr>
            <a:graphicFrameLocks/>
          </xdr:cNvGraphicFramePr>
        </xdr:nvGraphicFramePr>
        <xdr:xfrm>
          <a:off x="6894495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4"/>
          </a:graphicData>
        </a:graphic>
      </xdr:graphicFrame>
    </xdr:grpSp>
    <xdr:clientData/>
  </xdr:twoCellAnchor>
  <xdr:twoCellAnchor editAs="oneCell">
    <xdr:from>
      <xdr:col>0</xdr:col>
      <xdr:colOff>57150</xdr:colOff>
      <xdr:row>0</xdr:row>
      <xdr:rowOff>104775</xdr:rowOff>
    </xdr:from>
    <xdr:to>
      <xdr:col>0</xdr:col>
      <xdr:colOff>381150</xdr:colOff>
      <xdr:row>0</xdr:row>
      <xdr:rowOff>430240</xdr:rowOff>
    </xdr:to>
    <xdr:grpSp>
      <xdr:nvGrpSpPr>
        <xdr:cNvPr id="47" name="Gruppieren 46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1D00-00002F000000}"/>
            </a:ext>
          </a:extLst>
        </xdr:cNvPr>
        <xdr:cNvGrpSpPr/>
      </xdr:nvGrpSpPr>
      <xdr:grpSpPr>
        <a:xfrm>
          <a:off x="57150" y="104775"/>
          <a:ext cx="324000" cy="325465"/>
          <a:chOff x="12729063" y="1298331"/>
          <a:chExt cx="324000" cy="323267"/>
        </a:xfrm>
      </xdr:grpSpPr>
      <xdr:sp macro="" textlink="">
        <xdr:nvSpPr>
          <xdr:cNvPr id="48" name="Rechteck 47">
            <a:extLst>
              <a:ext uri="{FF2B5EF4-FFF2-40B4-BE49-F238E27FC236}">
                <a16:creationId xmlns:a16="http://schemas.microsoft.com/office/drawing/2014/main" id="{00000000-0008-0000-1D00-000030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9" name="Grafik 48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D00-00003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161925</xdr:colOff>
          <xdr:row>0</xdr:row>
          <xdr:rowOff>19050</xdr:rowOff>
        </xdr:from>
        <xdr:to>
          <xdr:col>8</xdr:col>
          <xdr:colOff>426720</xdr:colOff>
          <xdr:row>0</xdr:row>
          <xdr:rowOff>552450</xdr:rowOff>
        </xdr:to>
        <xdr:pic>
          <xdr:nvPicPr>
            <xdr:cNvPr id="53" name="Grafik 59">
              <a:extLst>
                <a:ext uri="{FF2B5EF4-FFF2-40B4-BE49-F238E27FC236}">
                  <a16:creationId xmlns:a16="http://schemas.microsoft.com/office/drawing/2014/main" id="{00000000-0008-0000-1D00-00003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3577"/>
                </a:ext>
              </a:extLst>
            </xdr:cNvPicPr>
          </xdr:nvPicPr>
          <xdr:blipFill>
            <a:blip xmlns:r="http://schemas.openxmlformats.org/officeDocument/2006/relationships" r:embed="rId17"/>
            <a:srcRect/>
            <a:stretch>
              <a:fillRect/>
            </a:stretch>
          </xdr:blipFill>
          <xdr:spPr bwMode="auto">
            <a:xfrm>
              <a:off x="8553450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2</xdr:row>
      <xdr:rowOff>95250</xdr:rowOff>
    </xdr:from>
    <xdr:to>
      <xdr:col>4</xdr:col>
      <xdr:colOff>735601</xdr:colOff>
      <xdr:row>32</xdr:row>
      <xdr:rowOff>175125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/>
      </xdr:nvSpPr>
      <xdr:spPr>
        <a:xfrm>
          <a:off x="495301" y="923925"/>
          <a:ext cx="2412000" cy="5652000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2</xdr:col>
      <xdr:colOff>27601</xdr:colOff>
      <xdr:row>3</xdr:row>
      <xdr:rowOff>0</xdr:rowOff>
    </xdr:from>
    <xdr:to>
      <xdr:col>4</xdr:col>
      <xdr:colOff>555601</xdr:colOff>
      <xdr:row>6</xdr:row>
      <xdr:rowOff>40500</xdr:rowOff>
    </xdr:to>
    <xdr:sp macro="" textlink="' '!A20">
      <xdr:nvSpPr>
        <xdr:cNvPr id="4" name="Textfeld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SpPr txBox="1"/>
      </xdr:nvSpPr>
      <xdr:spPr>
        <a:xfrm>
          <a:off x="675301" y="1019175"/>
          <a:ext cx="2052000" cy="612000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marL="0" indent="0" algn="ctr" defTabSz="914400" rtl="0" eaLnBrk="1" latinLnBrk="0" hangingPunct="1"/>
          <a:fld id="{7FABE2D0-641A-4683-85F1-73A7B4A8C499}" type="TxLink">
            <a:rPr lang="en-US" sz="2000" b="0" i="0" u="none" strike="noStrike" kern="1200">
              <a:solidFill>
                <a:schemeClr val="accent2"/>
              </a:solidFill>
              <a:latin typeface="Calibri"/>
              <a:ea typeface=""/>
              <a:cs typeface="Arial"/>
            </a:rPr>
            <a:pPr marL="0" indent="0" algn="ctr" defTabSz="914400" rtl="0" eaLnBrk="1" latinLnBrk="0" hangingPunct="1"/>
            <a:t>Auftauen (Unfreezing)</a:t>
          </a:fld>
          <a:endParaRPr lang="de-CH" sz="2000" b="0" i="0" u="none" strike="noStrike" kern="1200">
            <a:solidFill>
              <a:schemeClr val="accent2"/>
            </a:solidFill>
            <a:latin typeface="Calibri"/>
            <a:ea typeface=""/>
            <a:cs typeface="Arial"/>
          </a:endParaRPr>
        </a:p>
      </xdr:txBody>
    </xdr:sp>
    <xdr:clientData/>
  </xdr:twoCellAnchor>
  <xdr:twoCellAnchor>
    <xdr:from>
      <xdr:col>5</xdr:col>
      <xdr:colOff>104775</xdr:colOff>
      <xdr:row>2</xdr:row>
      <xdr:rowOff>95250</xdr:rowOff>
    </xdr:from>
    <xdr:to>
      <xdr:col>8</xdr:col>
      <xdr:colOff>230775</xdr:colOff>
      <xdr:row>32</xdr:row>
      <xdr:rowOff>175125</xdr:rowOff>
    </xdr:to>
    <xdr:sp macro="" textlink="">
      <xdr:nvSpPr>
        <xdr:cNvPr id="6" name="Rechteck 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3038475" y="923925"/>
          <a:ext cx="2412000" cy="5652000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5</xdr:col>
      <xdr:colOff>284775</xdr:colOff>
      <xdr:row>3</xdr:row>
      <xdr:rowOff>0</xdr:rowOff>
    </xdr:from>
    <xdr:to>
      <xdr:col>8</xdr:col>
      <xdr:colOff>50775</xdr:colOff>
      <xdr:row>6</xdr:row>
      <xdr:rowOff>40500</xdr:rowOff>
    </xdr:to>
    <xdr:sp macro="" textlink="' '!A21">
      <xdr:nvSpPr>
        <xdr:cNvPr id="7" name="Textfeld 6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SpPr txBox="1"/>
      </xdr:nvSpPr>
      <xdr:spPr>
        <a:xfrm>
          <a:off x="3218475" y="1019175"/>
          <a:ext cx="2052000" cy="612000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marL="0" indent="0" algn="ctr" defTabSz="914400" rtl="0" eaLnBrk="1" latinLnBrk="0" hangingPunct="1"/>
          <a:fld id="{1198918F-ACF6-48CC-8953-AC5BAA9F7138}" type="TxLink">
            <a:rPr lang="en-US" sz="2000" b="0" i="0" u="none" strike="noStrike" kern="1200">
              <a:solidFill>
                <a:schemeClr val="accent2"/>
              </a:solidFill>
              <a:latin typeface="Calibri"/>
              <a:ea typeface=""/>
              <a:cs typeface="Arial"/>
            </a:rPr>
            <a:pPr marL="0" indent="0" algn="ctr" defTabSz="914400" rtl="0" eaLnBrk="1" latinLnBrk="0" hangingPunct="1"/>
            <a:t>Verändern (Moving)</a:t>
          </a:fld>
          <a:endParaRPr lang="de-CH" sz="2000" b="0" i="0" u="none" strike="noStrike" kern="1200">
            <a:solidFill>
              <a:schemeClr val="accent2"/>
            </a:solidFill>
            <a:latin typeface="Calibri"/>
            <a:ea typeface=""/>
            <a:cs typeface="Arial"/>
          </a:endParaRPr>
        </a:p>
      </xdr:txBody>
    </xdr:sp>
    <xdr:clientData/>
  </xdr:twoCellAnchor>
  <xdr:twoCellAnchor>
    <xdr:from>
      <xdr:col>8</xdr:col>
      <xdr:colOff>359065</xdr:colOff>
      <xdr:row>2</xdr:row>
      <xdr:rowOff>95250</xdr:rowOff>
    </xdr:from>
    <xdr:to>
      <xdr:col>11</xdr:col>
      <xdr:colOff>485065</xdr:colOff>
      <xdr:row>32</xdr:row>
      <xdr:rowOff>175125</xdr:rowOff>
    </xdr:to>
    <xdr:sp macro="" textlink="">
      <xdr:nvSpPr>
        <xdr:cNvPr id="9" name="Rechteck 8">
          <a:extLst>
            <a:ext uri="{FF2B5EF4-FFF2-40B4-BE49-F238E27FC236}">
              <a16:creationId xmlns:a16="http://schemas.microsoft.com/office/drawing/2014/main" id="{00000000-0008-0000-1E00-000009000000}"/>
            </a:ext>
          </a:extLst>
        </xdr:cNvPr>
        <xdr:cNvSpPr/>
      </xdr:nvSpPr>
      <xdr:spPr>
        <a:xfrm>
          <a:off x="5578765" y="923925"/>
          <a:ext cx="2412000" cy="5652000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>
    <xdr:from>
      <xdr:col>8</xdr:col>
      <xdr:colOff>539065</xdr:colOff>
      <xdr:row>3</xdr:row>
      <xdr:rowOff>0</xdr:rowOff>
    </xdr:from>
    <xdr:to>
      <xdr:col>11</xdr:col>
      <xdr:colOff>305065</xdr:colOff>
      <xdr:row>6</xdr:row>
      <xdr:rowOff>40500</xdr:rowOff>
    </xdr:to>
    <xdr:sp macro="" textlink="' '!A22">
      <xdr:nvSpPr>
        <xdr:cNvPr id="10" name="Textfeld 9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SpPr txBox="1"/>
      </xdr:nvSpPr>
      <xdr:spPr>
        <a:xfrm>
          <a:off x="5758765" y="1019175"/>
          <a:ext cx="2052000" cy="612000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lIns="0" tIns="0" rIns="0" bIns="0" rtlCol="0" anchor="ctr"/>
        <a:lstStyle/>
        <a:p>
          <a:pPr marL="0" indent="0" algn="ctr" defTabSz="914400" rtl="0" eaLnBrk="1" latinLnBrk="0" hangingPunct="1"/>
          <a:fld id="{399D4DF2-58CE-4A1A-97AD-5CE7A1EC7032}" type="TxLink">
            <a:rPr lang="en-US" sz="2000" b="0" i="0" u="none" strike="noStrike" kern="1200">
              <a:solidFill>
                <a:schemeClr val="accent2"/>
              </a:solidFill>
              <a:latin typeface="Calibri"/>
              <a:ea typeface=""/>
              <a:cs typeface="Arial"/>
            </a:rPr>
            <a:pPr marL="0" indent="0" algn="ctr" defTabSz="914400" rtl="0" eaLnBrk="1" latinLnBrk="0" hangingPunct="1"/>
            <a:t>Stabilisieren (Refreezing)</a:t>
          </a:fld>
          <a:endParaRPr lang="de-CH" sz="2000" b="0" i="0" u="none" strike="noStrike" kern="1200">
            <a:solidFill>
              <a:schemeClr val="accent2"/>
            </a:solidFill>
            <a:latin typeface="Calibri"/>
            <a:ea typeface=""/>
            <a:cs typeface="Arial"/>
          </a:endParaRPr>
        </a:p>
      </xdr:txBody>
    </xdr:sp>
    <xdr:clientData/>
  </xdr:twoCellAnchor>
  <xdr:oneCellAnchor>
    <xdr:from>
      <xdr:col>11</xdr:col>
      <xdr:colOff>314325</xdr:colOff>
      <xdr:row>1</xdr:row>
      <xdr:rowOff>57150</xdr:rowOff>
    </xdr:from>
    <xdr:ext cx="180000" cy="180000"/>
    <xdr:grpSp>
      <xdr:nvGrpSpPr>
        <xdr:cNvPr id="27" name="Gruppieren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E00-00001B000000}"/>
            </a:ext>
          </a:extLst>
        </xdr:cNvPr>
        <xdr:cNvGrpSpPr/>
      </xdr:nvGrpSpPr>
      <xdr:grpSpPr>
        <a:xfrm>
          <a:off x="8041005" y="628650"/>
          <a:ext cx="180000" cy="180000"/>
          <a:chOff x="8105775" y="571500"/>
          <a:chExt cx="172800" cy="172800"/>
        </a:xfrm>
      </xdr:grpSpPr>
      <xdr:sp macro="" textlink="">
        <xdr:nvSpPr>
          <xdr:cNvPr id="28" name="Rechteck 27">
            <a:extLst>
              <a:ext uri="{FF2B5EF4-FFF2-40B4-BE49-F238E27FC236}">
                <a16:creationId xmlns:a16="http://schemas.microsoft.com/office/drawing/2014/main" id="{00000000-0008-0000-1E00-00001C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9" name="Textfeld 28">
            <a:extLst>
              <a:ext uri="{FF2B5EF4-FFF2-40B4-BE49-F238E27FC236}">
                <a16:creationId xmlns:a16="http://schemas.microsoft.com/office/drawing/2014/main" id="{00000000-0008-0000-1E00-00001D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oneCellAnchor>
  <xdr:twoCellAnchor>
    <xdr:from>
      <xdr:col>1</xdr:col>
      <xdr:colOff>28575</xdr:colOff>
      <xdr:row>27</xdr:row>
      <xdr:rowOff>146208</xdr:rowOff>
    </xdr:from>
    <xdr:to>
      <xdr:col>11</xdr:col>
      <xdr:colOff>495300</xdr:colOff>
      <xdr:row>32</xdr:row>
      <xdr:rowOff>144998</xdr:rowOff>
    </xdr:to>
    <xdr:sp macro="" textlink="' '!A25">
      <xdr:nvSpPr>
        <xdr:cNvPr id="30" name="Textfeld 29">
          <a:extLst>
            <a:ext uri="{FF2B5EF4-FFF2-40B4-BE49-F238E27FC236}">
              <a16:creationId xmlns:a16="http://schemas.microsoft.com/office/drawing/2014/main" id="{00000000-0008-0000-1E00-00001E000000}"/>
            </a:ext>
          </a:extLst>
        </xdr:cNvPr>
        <xdr:cNvSpPr txBox="1"/>
      </xdr:nvSpPr>
      <xdr:spPr>
        <a:xfrm>
          <a:off x="495300" y="5737383"/>
          <a:ext cx="7505700" cy="8084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55E43390-0861-479B-ADDA-7C4CA9A68D2C}" type="TxLink">
            <a:rPr lang="en-US" sz="4400" b="0" i="0" u="none" strike="noStrike">
              <a:ln>
                <a:noFill/>
              </a:ln>
              <a:solidFill>
                <a:schemeClr val="bg1">
                  <a:lumMod val="75000"/>
                </a:schemeClr>
              </a:solidFill>
              <a:latin typeface="Calibri"/>
              <a:ea typeface="+mn-ea"/>
              <a:cs typeface="+mn-cs"/>
            </a:rPr>
            <a:pPr marL="0" indent="0" algn="ctr"/>
            <a:t>CHANGE KULTUR</a:t>
          </a:fld>
          <a:endParaRPr lang="de-CH" sz="4400" b="0" i="0" u="none" strike="noStrike">
            <a:ln>
              <a:noFill/>
            </a:ln>
            <a:solidFill>
              <a:schemeClr val="bg1">
                <a:lumMod val="75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32" name="Gruppieren 3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E00-000020000000}"/>
            </a:ext>
          </a:extLst>
        </xdr:cNvPr>
        <xdr:cNvGrpSpPr/>
      </xdr:nvGrpSpPr>
      <xdr:grpSpPr>
        <a:xfrm>
          <a:off x="66675" y="104775"/>
          <a:ext cx="324000" cy="325465"/>
          <a:chOff x="12729063" y="1298331"/>
          <a:chExt cx="324000" cy="323267"/>
        </a:xfrm>
      </xdr:grpSpPr>
      <xdr:sp macro="" textlink="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1E00-000021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4" name="Grafik 3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E00-00002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2</xdr:col>
      <xdr:colOff>419100</xdr:colOff>
      <xdr:row>13</xdr:row>
      <xdr:rowOff>104775</xdr:rowOff>
    </xdr:from>
    <xdr:to>
      <xdr:col>11</xdr:col>
      <xdr:colOff>57150</xdr:colOff>
      <xdr:row>24</xdr:row>
      <xdr:rowOff>110974</xdr:rowOff>
    </xdr:to>
    <xdr:sp macro="" textlink="">
      <xdr:nvSpPr>
        <xdr:cNvPr id="287751" name="Freihandform 287750">
          <a:extLst>
            <a:ext uri="{FF2B5EF4-FFF2-40B4-BE49-F238E27FC236}">
              <a16:creationId xmlns:a16="http://schemas.microsoft.com/office/drawing/2014/main" id="{00000000-0008-0000-1E00-000007640400}"/>
            </a:ext>
          </a:extLst>
        </xdr:cNvPr>
        <xdr:cNvSpPr/>
      </xdr:nvSpPr>
      <xdr:spPr>
        <a:xfrm>
          <a:off x="1066800" y="3028950"/>
          <a:ext cx="6496050" cy="2101699"/>
        </a:xfrm>
        <a:custGeom>
          <a:avLst/>
          <a:gdLst>
            <a:gd name="connsiteX0" fmla="*/ 0 w 6496050"/>
            <a:gd name="connsiteY0" fmla="*/ 1143000 h 2101699"/>
            <a:gd name="connsiteX1" fmla="*/ 857250 w 6496050"/>
            <a:gd name="connsiteY1" fmla="*/ 2085975 h 2101699"/>
            <a:gd name="connsiteX2" fmla="*/ 3076575 w 6496050"/>
            <a:gd name="connsiteY2" fmla="*/ 457200 h 2101699"/>
            <a:gd name="connsiteX3" fmla="*/ 6496050 w 6496050"/>
            <a:gd name="connsiteY3" fmla="*/ 0 h 21016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496050" h="2101699">
              <a:moveTo>
                <a:pt x="0" y="1143000"/>
              </a:moveTo>
              <a:cubicBezTo>
                <a:pt x="172244" y="1671637"/>
                <a:pt x="344488" y="2200275"/>
                <a:pt x="857250" y="2085975"/>
              </a:cubicBezTo>
              <a:cubicBezTo>
                <a:pt x="1370012" y="1971675"/>
                <a:pt x="2136775" y="804862"/>
                <a:pt x="3076575" y="457200"/>
              </a:cubicBezTo>
              <a:cubicBezTo>
                <a:pt x="4016375" y="109538"/>
                <a:pt x="5256212" y="54769"/>
                <a:pt x="6496050" y="0"/>
              </a:cubicBezTo>
            </a:path>
          </a:pathLst>
        </a:custGeom>
        <a:ln>
          <a:solidFill>
            <a:schemeClr val="accent1">
              <a:lumMod val="75000"/>
            </a:schemeClr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1</xdr:col>
      <xdr:colOff>128028</xdr:colOff>
      <xdr:row>7</xdr:row>
      <xdr:rowOff>47625</xdr:rowOff>
    </xdr:from>
    <xdr:to>
      <xdr:col>4</xdr:col>
      <xdr:colOff>636149</xdr:colOff>
      <xdr:row>9</xdr:row>
      <xdr:rowOff>171892</xdr:rowOff>
    </xdr:to>
    <xdr:sp macro="" textlink="' '!A26">
      <xdr:nvSpPr>
        <xdr:cNvPr id="81" name="Text Box 12">
          <a:extLst>
            <a:ext uri="{FF2B5EF4-FFF2-40B4-BE49-F238E27FC236}">
              <a16:creationId xmlns:a16="http://schemas.microsoft.com/office/drawing/2014/main" id="{00000000-0008-0000-1E00-000051000000}"/>
            </a:ext>
          </a:extLst>
        </xdr:cNvPr>
        <xdr:cNvSpPr txBox="1">
          <a:spLocks noChangeArrowheads="1"/>
        </xdr:cNvSpPr>
      </xdr:nvSpPr>
      <xdr:spPr bwMode="auto">
        <a:xfrm>
          <a:off x="594753" y="1828800"/>
          <a:ext cx="2213096" cy="5052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indent="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</a:pPr>
          <a:fld id="{9E63D976-2CB7-404C-8F07-72F451DD4D42}" type="TxLink">
            <a:rPr lang="en-US" sz="1400" b="0" kern="1200">
              <a:solidFill>
                <a:schemeClr val="accent1">
                  <a:lumMod val="75000"/>
                </a:schemeClr>
              </a:solidFill>
              <a:latin typeface="Arial" pitchFamily="34" charset="0"/>
              <a:ea typeface="+mn-ea"/>
              <a:cs typeface="+mn-cs"/>
            </a:rPr>
            <a:pPr marL="0" indent="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</a:pPr>
            <a:t>Bereitschaft für Veränderungen schaffen</a:t>
          </a:fld>
          <a:endParaRPr lang="fr-CH" sz="1400" b="0" kern="1200">
            <a:solidFill>
              <a:schemeClr val="accent1">
                <a:lumMod val="75000"/>
              </a:schemeClr>
            </a:solidFill>
            <a:latin typeface="Arial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204227</xdr:colOff>
      <xdr:row>7</xdr:row>
      <xdr:rowOff>47625</xdr:rowOff>
    </xdr:from>
    <xdr:to>
      <xdr:col>8</xdr:col>
      <xdr:colOff>131323</xdr:colOff>
      <xdr:row>9</xdr:row>
      <xdr:rowOff>171892</xdr:rowOff>
    </xdr:to>
    <xdr:sp macro="" textlink="' '!A27">
      <xdr:nvSpPr>
        <xdr:cNvPr id="82" name="Text Box 13">
          <a:extLst>
            <a:ext uri="{FF2B5EF4-FFF2-40B4-BE49-F238E27FC236}">
              <a16:creationId xmlns:a16="http://schemas.microsoft.com/office/drawing/2014/main" id="{00000000-0008-0000-1E00-000052000000}"/>
            </a:ext>
          </a:extLst>
        </xdr:cNvPr>
        <xdr:cNvSpPr txBox="1">
          <a:spLocks noChangeArrowheads="1"/>
        </xdr:cNvSpPr>
      </xdr:nvSpPr>
      <xdr:spPr bwMode="auto">
        <a:xfrm>
          <a:off x="3137927" y="1828800"/>
          <a:ext cx="2213096" cy="5052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indent="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</a:pPr>
          <a:fld id="{78BCA729-ECD3-427C-8E95-E8679BBC310E}" type="TxLink">
            <a:rPr lang="en-US" sz="1400" b="0" kern="1200">
              <a:solidFill>
                <a:schemeClr val="accent1">
                  <a:lumMod val="75000"/>
                </a:schemeClr>
              </a:solidFill>
              <a:latin typeface="Arial" pitchFamily="34" charset="0"/>
              <a:ea typeface="+mn-ea"/>
              <a:cs typeface="+mn-cs"/>
            </a:rPr>
            <a:pPr marL="0" indent="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</a:pPr>
            <a:t>Umsetzung der vereinbarten Ziele</a:t>
          </a:fld>
          <a:endParaRPr lang="fr-CH" sz="1400" b="0" kern="1200">
            <a:solidFill>
              <a:schemeClr val="accent1">
                <a:lumMod val="75000"/>
              </a:schemeClr>
            </a:solidFill>
            <a:latin typeface="Arial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365562</xdr:colOff>
      <xdr:row>7</xdr:row>
      <xdr:rowOff>47625</xdr:rowOff>
    </xdr:from>
    <xdr:to>
      <xdr:col>11</xdr:col>
      <xdr:colOff>478568</xdr:colOff>
      <xdr:row>9</xdr:row>
      <xdr:rowOff>171892</xdr:rowOff>
    </xdr:to>
    <xdr:sp macro="" textlink="' '!A28">
      <xdr:nvSpPr>
        <xdr:cNvPr id="83" name="Text Box 14">
          <a:extLst>
            <a:ext uri="{FF2B5EF4-FFF2-40B4-BE49-F238E27FC236}">
              <a16:creationId xmlns:a16="http://schemas.microsoft.com/office/drawing/2014/main" id="{00000000-0008-0000-1E00-000053000000}"/>
            </a:ext>
          </a:extLst>
        </xdr:cNvPr>
        <xdr:cNvSpPr txBox="1">
          <a:spLocks noChangeArrowheads="1"/>
        </xdr:cNvSpPr>
      </xdr:nvSpPr>
      <xdr:spPr bwMode="auto">
        <a:xfrm>
          <a:off x="5585262" y="1828800"/>
          <a:ext cx="2399006" cy="5052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indent="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</a:pPr>
          <a:fld id="{0A5F75BE-0CA2-4CBB-AA7E-82DBFE52FA47}" type="TxLink">
            <a:rPr lang="en-US" sz="1400" b="0" kern="1200">
              <a:solidFill>
                <a:schemeClr val="accent1">
                  <a:lumMod val="75000"/>
                </a:schemeClr>
              </a:solidFill>
              <a:latin typeface="Arial" pitchFamily="34" charset="0"/>
              <a:ea typeface="+mn-ea"/>
              <a:cs typeface="+mn-cs"/>
            </a:rPr>
            <a:pPr marL="0" indent="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</a:pPr>
            <a:t>Stabilisieren der implementierten Lösung</a:t>
          </a:fld>
          <a:endParaRPr lang="fr-CH" sz="1400" b="0" kern="1200">
            <a:solidFill>
              <a:schemeClr val="accent1">
                <a:lumMod val="75000"/>
              </a:schemeClr>
            </a:solidFill>
            <a:latin typeface="Arial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447675</xdr:colOff>
      <xdr:row>17</xdr:row>
      <xdr:rowOff>30066</xdr:rowOff>
    </xdr:from>
    <xdr:to>
      <xdr:col>3</xdr:col>
      <xdr:colOff>347949</xdr:colOff>
      <xdr:row>18</xdr:row>
      <xdr:rowOff>147343</xdr:rowOff>
    </xdr:to>
    <xdr:sp macro="" textlink="' '!A29">
      <xdr:nvSpPr>
        <xdr:cNvPr id="84" name="Text Box 15">
          <a:extLst>
            <a:ext uri="{FF2B5EF4-FFF2-40B4-BE49-F238E27FC236}">
              <a16:creationId xmlns:a16="http://schemas.microsoft.com/office/drawing/2014/main" id="{00000000-0008-0000-1E00-000054000000}"/>
            </a:ext>
          </a:extLst>
        </xdr:cNvPr>
        <xdr:cNvSpPr txBox="1">
          <a:spLocks noChangeArrowheads="1"/>
        </xdr:cNvSpPr>
      </xdr:nvSpPr>
      <xdr:spPr bwMode="auto">
        <a:xfrm>
          <a:off x="447675" y="3716241"/>
          <a:ext cx="1309974" cy="3077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indent="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</a:pPr>
          <a:fld id="{3A8F91DE-C9C1-4DA0-AF22-728094E0AC9A}" type="TxLink">
            <a:rPr lang="en-US" sz="1400" b="0" kern="1200">
              <a:solidFill>
                <a:schemeClr val="accent2"/>
              </a:solidFill>
              <a:latin typeface="Arial" pitchFamily="34" charset="0"/>
              <a:ea typeface="+mn-ea"/>
              <a:cs typeface="+mn-cs"/>
            </a:rPr>
            <a:pPr marL="0" indent="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</a:pPr>
            <a:t>sensibilisieren</a:t>
          </a:fld>
          <a:endParaRPr lang="fr-CH" sz="1400" b="0" kern="1200">
            <a:solidFill>
              <a:schemeClr val="accent2"/>
            </a:solidFill>
            <a:latin typeface="Arial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379001</xdr:colOff>
      <xdr:row>25</xdr:row>
      <xdr:rowOff>1801</xdr:rowOff>
    </xdr:from>
    <xdr:to>
      <xdr:col>4</xdr:col>
      <xdr:colOff>716982</xdr:colOff>
      <xdr:row>26</xdr:row>
      <xdr:rowOff>119078</xdr:rowOff>
    </xdr:to>
    <xdr:sp macro="" textlink="' '!A30">
      <xdr:nvSpPr>
        <xdr:cNvPr id="85" name="Text Box 16">
          <a:extLst>
            <a:ext uri="{FF2B5EF4-FFF2-40B4-BE49-F238E27FC236}">
              <a16:creationId xmlns:a16="http://schemas.microsoft.com/office/drawing/2014/main" id="{00000000-0008-0000-1E00-000055000000}"/>
            </a:ext>
          </a:extLst>
        </xdr:cNvPr>
        <xdr:cNvSpPr txBox="1">
          <a:spLocks noChangeArrowheads="1"/>
        </xdr:cNvSpPr>
      </xdr:nvSpPr>
      <xdr:spPr bwMode="auto">
        <a:xfrm>
          <a:off x="1788701" y="5211976"/>
          <a:ext cx="1099981" cy="3077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indent="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</a:pPr>
          <a:fld id="{8C3A9900-DF57-4C5F-9BD7-C33CF34FA135}" type="TxLink">
            <a:rPr lang="en-US" sz="1400" b="0" kern="1200">
              <a:solidFill>
                <a:schemeClr val="accent2"/>
              </a:solidFill>
              <a:latin typeface="Arial" pitchFamily="34" charset="0"/>
              <a:ea typeface="+mn-ea"/>
              <a:cs typeface="+mn-cs"/>
            </a:rPr>
            <a:pPr marL="0" indent="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</a:pPr>
            <a:t>konzipieren</a:t>
          </a:fld>
          <a:endParaRPr lang="fr-CH" sz="1400" b="0" kern="1200">
            <a:solidFill>
              <a:schemeClr val="accent2"/>
            </a:solidFill>
            <a:latin typeface="Arial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93362</xdr:colOff>
      <xdr:row>20</xdr:row>
      <xdr:rowOff>35503</xdr:rowOff>
    </xdr:from>
    <xdr:to>
      <xdr:col>6</xdr:col>
      <xdr:colOff>471418</xdr:colOff>
      <xdr:row>21</xdr:row>
      <xdr:rowOff>152780</xdr:rowOff>
    </xdr:to>
    <xdr:sp macro="" textlink="' '!A31">
      <xdr:nvSpPr>
        <xdr:cNvPr id="86" name="Text Box 17">
          <a:extLst>
            <a:ext uri="{FF2B5EF4-FFF2-40B4-BE49-F238E27FC236}">
              <a16:creationId xmlns:a16="http://schemas.microsoft.com/office/drawing/2014/main" id="{00000000-0008-0000-1E00-000056000000}"/>
            </a:ext>
          </a:extLst>
        </xdr:cNvPr>
        <xdr:cNvSpPr txBox="1">
          <a:spLocks noChangeArrowheads="1"/>
        </xdr:cNvSpPr>
      </xdr:nvSpPr>
      <xdr:spPr bwMode="auto">
        <a:xfrm>
          <a:off x="3027062" y="4293178"/>
          <a:ext cx="1140056" cy="3077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indent="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</a:pPr>
          <a:fld id="{4D0C92C7-880B-4ACC-A7AD-001BF2AA9C0D}" type="TxLink">
            <a:rPr lang="en-US" sz="1400" b="0" kern="1200">
              <a:solidFill>
                <a:schemeClr val="accent2"/>
              </a:solidFill>
              <a:latin typeface="Arial" pitchFamily="34" charset="0"/>
              <a:ea typeface="+mn-ea"/>
              <a:cs typeface="+mn-cs"/>
            </a:rPr>
            <a:pPr marL="0" indent="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</a:pPr>
            <a:t>mobilisieren</a:t>
          </a:fld>
          <a:endParaRPr lang="fr-CH" sz="1400" b="0" kern="1200">
            <a:solidFill>
              <a:schemeClr val="accent2"/>
            </a:solidFill>
            <a:latin typeface="Arial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660723</xdr:colOff>
      <xdr:row>15</xdr:row>
      <xdr:rowOff>185740</xdr:rowOff>
    </xdr:from>
    <xdr:to>
      <xdr:col>8</xdr:col>
      <xdr:colOff>544480</xdr:colOff>
      <xdr:row>17</xdr:row>
      <xdr:rowOff>112517</xdr:rowOff>
    </xdr:to>
    <xdr:sp macro="" textlink="' '!A32">
      <xdr:nvSpPr>
        <xdr:cNvPr id="87" name="Text Box 18">
          <a:extLst>
            <a:ext uri="{FF2B5EF4-FFF2-40B4-BE49-F238E27FC236}">
              <a16:creationId xmlns:a16="http://schemas.microsoft.com/office/drawing/2014/main" id="{00000000-0008-0000-1E00-000057000000}"/>
            </a:ext>
          </a:extLst>
        </xdr:cNvPr>
        <xdr:cNvSpPr txBox="1">
          <a:spLocks noChangeArrowheads="1"/>
        </xdr:cNvSpPr>
      </xdr:nvSpPr>
      <xdr:spPr bwMode="auto">
        <a:xfrm>
          <a:off x="4356423" y="3490915"/>
          <a:ext cx="1407757" cy="3077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indent="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</a:pPr>
          <a:fld id="{2BD2E60E-C7DB-491B-85DD-2417BAAAF603}" type="TxLink">
            <a:rPr lang="en-US" sz="1400" b="0" kern="1200">
              <a:solidFill>
                <a:schemeClr val="accent2"/>
              </a:solidFill>
              <a:latin typeface="Arial" pitchFamily="34" charset="0"/>
              <a:ea typeface="+mn-ea"/>
              <a:cs typeface="+mn-cs"/>
            </a:rPr>
            <a:pPr marL="0" indent="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</a:pPr>
            <a:t>implementieren</a:t>
          </a:fld>
          <a:endParaRPr lang="fr-CH" sz="1400" b="0" kern="1200">
            <a:solidFill>
              <a:schemeClr val="accent2"/>
            </a:solidFill>
            <a:latin typeface="Arial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365941</xdr:colOff>
      <xdr:row>14</xdr:row>
      <xdr:rowOff>66675</xdr:rowOff>
    </xdr:from>
    <xdr:to>
      <xdr:col>11</xdr:col>
      <xdr:colOff>81383</xdr:colOff>
      <xdr:row>15</xdr:row>
      <xdr:rowOff>183952</xdr:rowOff>
    </xdr:to>
    <xdr:sp macro="" textlink="' '!A33">
      <xdr:nvSpPr>
        <xdr:cNvPr id="88" name="Text Box 19">
          <a:extLst>
            <a:ext uri="{FF2B5EF4-FFF2-40B4-BE49-F238E27FC236}">
              <a16:creationId xmlns:a16="http://schemas.microsoft.com/office/drawing/2014/main" id="{00000000-0008-0000-1E00-000058000000}"/>
            </a:ext>
          </a:extLst>
        </xdr:cNvPr>
        <xdr:cNvSpPr txBox="1">
          <a:spLocks noChangeArrowheads="1"/>
        </xdr:cNvSpPr>
      </xdr:nvSpPr>
      <xdr:spPr bwMode="auto">
        <a:xfrm>
          <a:off x="6347641" y="3181350"/>
          <a:ext cx="1239442" cy="3077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no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indent="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</a:pPr>
          <a:fld id="{EE8C7E81-4A20-4AE2-9270-CCE34DC1B69F}" type="TxLink">
            <a:rPr lang="en-US" sz="1400" b="0" kern="1200">
              <a:solidFill>
                <a:schemeClr val="accent2"/>
              </a:solidFill>
              <a:latin typeface="Arial" pitchFamily="34" charset="0"/>
              <a:ea typeface="+mn-ea"/>
              <a:cs typeface="+mn-cs"/>
            </a:rPr>
            <a:pPr marL="0" indent="0" algn="ctr" rtl="0" fontAlgn="base">
              <a:spcBef>
                <a:spcPct val="0"/>
              </a:spcBef>
              <a:spcAft>
                <a:spcPct val="0"/>
              </a:spcAft>
              <a:buFont typeface="Times" pitchFamily="18" charset="0"/>
            </a:pPr>
            <a:t>konsolidieren</a:t>
          </a:fld>
          <a:endParaRPr lang="fr-CH" sz="1400" b="0" kern="1200">
            <a:solidFill>
              <a:schemeClr val="accent2"/>
            </a:solidFill>
            <a:latin typeface="Arial" pitchFamily="34" charset="0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561975</xdr:colOff>
          <xdr:row>0</xdr:row>
          <xdr:rowOff>19050</xdr:rowOff>
        </xdr:from>
        <xdr:to>
          <xdr:col>11</xdr:col>
          <xdr:colOff>483870</xdr:colOff>
          <xdr:row>0</xdr:row>
          <xdr:rowOff>552450</xdr:rowOff>
        </xdr:to>
        <xdr:pic>
          <xdr:nvPicPr>
            <xdr:cNvPr id="24" name="Grafik 59">
              <a:extLst>
                <a:ext uri="{FF2B5EF4-FFF2-40B4-BE49-F238E27FC236}">
                  <a16:creationId xmlns:a16="http://schemas.microsoft.com/office/drawing/2014/main" id="{00000000-0008-0000-1E00-00001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38670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578167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9</xdr:col>
      <xdr:colOff>704850</xdr:colOff>
      <xdr:row>33</xdr:row>
      <xdr:rowOff>9525</xdr:rowOff>
    </xdr:from>
    <xdr:to>
      <xdr:col>11</xdr:col>
      <xdr:colOff>476250</xdr:colOff>
      <xdr:row>34</xdr:row>
      <xdr:rowOff>67876</xdr:rowOff>
    </xdr:to>
    <xdr:sp macro="" textlink="">
      <xdr:nvSpPr>
        <xdr:cNvPr id="25" name="Rechteck 24">
          <a:extLst>
            <a:ext uri="{FF2B5EF4-FFF2-40B4-BE49-F238E27FC236}">
              <a16:creationId xmlns:a16="http://schemas.microsoft.com/office/drawing/2014/main" id="{00000000-0008-0000-1E00-000019000000}"/>
            </a:ext>
          </a:extLst>
        </xdr:cNvPr>
        <xdr:cNvSpPr/>
      </xdr:nvSpPr>
      <xdr:spPr>
        <a:xfrm>
          <a:off x="6686550" y="6638925"/>
          <a:ext cx="1295400" cy="248851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r"/>
          <a:r>
            <a:rPr lang="de-CH" sz="1000" b="0">
              <a:solidFill>
                <a:schemeClr val="bg1">
                  <a:lumMod val="5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(Lewin, 1936)</a:t>
          </a:r>
          <a:endParaRPr lang="fr-CH" sz="1000" b="0">
            <a:solidFill>
              <a:schemeClr val="bg1">
                <a:lumMod val="50000"/>
              </a:schemeClr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1304925</xdr:colOff>
      <xdr:row>4</xdr:row>
      <xdr:rowOff>351618</xdr:rowOff>
    </xdr:from>
    <xdr:to>
      <xdr:col>2</xdr:col>
      <xdr:colOff>1628925</xdr:colOff>
      <xdr:row>4</xdr:row>
      <xdr:rowOff>677083</xdr:rowOff>
    </xdr:to>
    <xdr:sp macro="" textlink="">
      <xdr:nvSpPr>
        <xdr:cNvPr id="2" name="Rechtec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>
          <a:spLocks noChangeAspect="1"/>
        </xdr:cNvSpPr>
      </xdr:nvSpPr>
      <xdr:spPr>
        <a:xfrm>
          <a:off x="2009775" y="1466043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ok</a:t>
          </a:r>
        </a:p>
      </xdr:txBody>
    </xdr:sp>
    <xdr:clientData fPrintsWithSheet="0"/>
  </xdr:twoCellAnchor>
  <xdr:twoCellAnchor editAs="oneCell">
    <xdr:from>
      <xdr:col>2</xdr:col>
      <xdr:colOff>9525</xdr:colOff>
      <xdr:row>3</xdr:row>
      <xdr:rowOff>104775</xdr:rowOff>
    </xdr:from>
    <xdr:to>
      <xdr:col>2</xdr:col>
      <xdr:colOff>904875</xdr:colOff>
      <xdr:row>5</xdr:row>
      <xdr:rowOff>95250</xdr:rowOff>
    </xdr:to>
    <xdr:pic>
      <xdr:nvPicPr>
        <xdr:cNvPr id="6" name="Grafik 5" descr="http://files.softicons.com/download/folder-icons/latt-sjo-icons-by-rick-patrick/png/128x128/Open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14375" y="1028700"/>
          <a:ext cx="89535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 editAs="oneCell">
    <xdr:from>
      <xdr:col>1</xdr:col>
      <xdr:colOff>85726</xdr:colOff>
      <xdr:row>1</xdr:row>
      <xdr:rowOff>142875</xdr:rowOff>
    </xdr:from>
    <xdr:to>
      <xdr:col>2</xdr:col>
      <xdr:colOff>2400301</xdr:colOff>
      <xdr:row>6</xdr:row>
      <xdr:rowOff>123825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SpPr/>
      </xdr:nvSpPr>
      <xdr:spPr>
        <a:xfrm>
          <a:off x="552451" y="676275"/>
          <a:ext cx="2552700" cy="1476375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oneCell">
    <xdr:from>
      <xdr:col>2</xdr:col>
      <xdr:colOff>1828800</xdr:colOff>
      <xdr:row>4</xdr:row>
      <xdr:rowOff>351618</xdr:rowOff>
    </xdr:from>
    <xdr:to>
      <xdr:col>2</xdr:col>
      <xdr:colOff>2152800</xdr:colOff>
      <xdr:row>4</xdr:row>
      <xdr:rowOff>677083</xdr:rowOff>
    </xdr:to>
    <xdr:grpSp>
      <xdr:nvGrpSpPr>
        <xdr:cNvPr id="8" name="Gruppieren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GrpSpPr/>
      </xdr:nvGrpSpPr>
      <xdr:grpSpPr>
        <a:xfrm>
          <a:off x="2552700" y="1486998"/>
          <a:ext cx="324000" cy="325465"/>
          <a:chOff x="9191625" y="300990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F00-00000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links 9">
            <a:extLst>
              <a:ext uri="{FF2B5EF4-FFF2-40B4-BE49-F238E27FC236}">
                <a16:creationId xmlns:a16="http://schemas.microsoft.com/office/drawing/2014/main" id="{00000000-0008-0000-1F00-00000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3</xdr:col>
      <xdr:colOff>9525</xdr:colOff>
      <xdr:row>5</xdr:row>
      <xdr:rowOff>85725</xdr:rowOff>
    </xdr:from>
    <xdr:ext cx="895350" cy="247650"/>
    <xdr:sp macro="" textlink="">
      <xdr:nvSpPr>
        <xdr:cNvPr id="14" name="Textfeld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F00-00000E000000}"/>
            </a:ext>
          </a:extLst>
        </xdr:cNvPr>
        <xdr:cNvSpPr txBox="1"/>
      </xdr:nvSpPr>
      <xdr:spPr>
        <a:xfrm>
          <a:off x="3419475" y="1914525"/>
          <a:ext cx="895350" cy="24765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free trial</a:t>
          </a:r>
        </a:p>
      </xdr:txBody>
    </xdr:sp>
    <xdr:clientData fPrintsWithSheet="0"/>
  </xdr:one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1" name="Gruppieren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F00-00000B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F00-00000C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3" name="Grafik 12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F00-00000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</xdr:col>
      <xdr:colOff>0</xdr:colOff>
      <xdr:row>8</xdr:row>
      <xdr:rowOff>114300</xdr:rowOff>
    </xdr:from>
    <xdr:to>
      <xdr:col>3</xdr:col>
      <xdr:colOff>2009775</xdr:colOff>
      <xdr:row>33</xdr:row>
      <xdr:rowOff>114300</xdr:rowOff>
    </xdr:to>
    <xdr:pic>
      <xdr:nvPicPr>
        <xdr:cNvPr id="4" name="Grafik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2533650"/>
          <a:ext cx="4953000" cy="4791075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1304925</xdr:colOff>
      <xdr:row>4</xdr:row>
      <xdr:rowOff>351618</xdr:rowOff>
    </xdr:from>
    <xdr:to>
      <xdr:col>2</xdr:col>
      <xdr:colOff>1628925</xdr:colOff>
      <xdr:row>4</xdr:row>
      <xdr:rowOff>677083</xdr:rowOff>
    </xdr:to>
    <xdr:sp macro="" textlink="">
      <xdr:nvSpPr>
        <xdr:cNvPr id="2" name="Rechtec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>
          <a:spLocks noChangeAspect="1"/>
        </xdr:cNvSpPr>
      </xdr:nvSpPr>
      <xdr:spPr>
        <a:xfrm>
          <a:off x="2009775" y="1466043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ok</a:t>
          </a:r>
        </a:p>
      </xdr:txBody>
    </xdr:sp>
    <xdr:clientData fPrintsWithSheet="0"/>
  </xdr:twoCellAnchor>
  <xdr:twoCellAnchor editAs="oneCell">
    <xdr:from>
      <xdr:col>2</xdr:col>
      <xdr:colOff>9525</xdr:colOff>
      <xdr:row>3</xdr:row>
      <xdr:rowOff>104775</xdr:rowOff>
    </xdr:from>
    <xdr:to>
      <xdr:col>2</xdr:col>
      <xdr:colOff>904875</xdr:colOff>
      <xdr:row>5</xdr:row>
      <xdr:rowOff>95250</xdr:rowOff>
    </xdr:to>
    <xdr:pic>
      <xdr:nvPicPr>
        <xdr:cNvPr id="6" name="Grafik 5" descr="http://files.softicons.com/download/folder-icons/latt-sjo-icons-by-rick-patrick/png/128x128/Open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14375" y="1028700"/>
          <a:ext cx="89535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 editAs="oneCell">
    <xdr:from>
      <xdr:col>1</xdr:col>
      <xdr:colOff>85726</xdr:colOff>
      <xdr:row>1</xdr:row>
      <xdr:rowOff>142875</xdr:rowOff>
    </xdr:from>
    <xdr:to>
      <xdr:col>2</xdr:col>
      <xdr:colOff>2400301</xdr:colOff>
      <xdr:row>6</xdr:row>
      <xdr:rowOff>123825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SpPr/>
      </xdr:nvSpPr>
      <xdr:spPr>
        <a:xfrm>
          <a:off x="552451" y="676275"/>
          <a:ext cx="2552700" cy="1476375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oneCellAnchor>
    <xdr:from>
      <xdr:col>3</xdr:col>
      <xdr:colOff>19050</xdr:colOff>
      <xdr:row>5</xdr:row>
      <xdr:rowOff>104775</xdr:rowOff>
    </xdr:from>
    <xdr:ext cx="895350" cy="247650"/>
    <xdr:sp macro="" textlink="">
      <xdr:nvSpPr>
        <xdr:cNvPr id="8" name="Textfeld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SpPr txBox="1"/>
      </xdr:nvSpPr>
      <xdr:spPr>
        <a:xfrm>
          <a:off x="3429000" y="1933575"/>
          <a:ext cx="895350" cy="24765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free trial</a:t>
          </a:r>
        </a:p>
      </xdr:txBody>
    </xdr:sp>
    <xdr:clientData fPrintsWithSheet="0"/>
  </xdr:oneCellAnchor>
  <xdr:twoCellAnchor editAs="oneCell">
    <xdr:from>
      <xdr:col>1</xdr:col>
      <xdr:colOff>28576</xdr:colOff>
      <xdr:row>8</xdr:row>
      <xdr:rowOff>133350</xdr:rowOff>
    </xdr:from>
    <xdr:to>
      <xdr:col>4</xdr:col>
      <xdr:colOff>685630</xdr:colOff>
      <xdr:row>33</xdr:row>
      <xdr:rowOff>113392</xdr:rowOff>
    </xdr:to>
    <xdr:pic>
      <xdr:nvPicPr>
        <xdr:cNvPr id="9" name="Grafik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95301" y="2552700"/>
          <a:ext cx="5952954" cy="477111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95250</xdr:rowOff>
    </xdr:from>
    <xdr:to>
      <xdr:col>0</xdr:col>
      <xdr:colOff>400200</xdr:colOff>
      <xdr:row>0</xdr:row>
      <xdr:rowOff>420715</xdr:rowOff>
    </xdr:to>
    <xdr:grpSp>
      <xdr:nvGrpSpPr>
        <xdr:cNvPr id="10" name="Gruppieren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000-00000A000000}"/>
            </a:ext>
          </a:extLst>
        </xdr:cNvPr>
        <xdr:cNvGrpSpPr/>
      </xdr:nvGrpSpPr>
      <xdr:grpSpPr>
        <a:xfrm>
          <a:off x="76200" y="95250"/>
          <a:ext cx="324000" cy="325465"/>
          <a:chOff x="12729063" y="1298331"/>
          <a:chExt cx="324000" cy="323267"/>
        </a:xfrm>
      </xdr:grpSpPr>
      <xdr:sp macro="" textlink="">
        <xdr:nvSpPr>
          <xdr:cNvPr id="11" name="Rechteck 10">
            <a:extLst>
              <a:ext uri="{FF2B5EF4-FFF2-40B4-BE49-F238E27FC236}">
                <a16:creationId xmlns:a16="http://schemas.microsoft.com/office/drawing/2014/main" id="{00000000-0008-0000-2000-00000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2" name="Grafik 1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000-00000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1304925</xdr:colOff>
      <xdr:row>4</xdr:row>
      <xdr:rowOff>351618</xdr:rowOff>
    </xdr:from>
    <xdr:ext cx="324000" cy="325465"/>
    <xdr:sp macro="" textlink="">
      <xdr:nvSpPr>
        <xdr:cNvPr id="2" name="Rechtec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>
          <a:spLocks noChangeAspect="1"/>
        </xdr:cNvSpPr>
      </xdr:nvSpPr>
      <xdr:spPr>
        <a:xfrm>
          <a:off x="2009775" y="1466043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ok</a:t>
          </a:r>
        </a:p>
      </xdr:txBody>
    </xdr:sp>
    <xdr:clientData fPrintsWithSheet="0"/>
  </xdr:oneCellAnchor>
  <xdr:oneCellAnchor>
    <xdr:from>
      <xdr:col>2</xdr:col>
      <xdr:colOff>9525</xdr:colOff>
      <xdr:row>3</xdr:row>
      <xdr:rowOff>104775</xdr:rowOff>
    </xdr:from>
    <xdr:ext cx="895350" cy="895350"/>
    <xdr:pic>
      <xdr:nvPicPr>
        <xdr:cNvPr id="6" name="Grafik 5" descr="http://files.softicons.com/download/folder-icons/latt-sjo-icons-by-rick-patrick/png/128x128/Open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14375" y="1028700"/>
          <a:ext cx="89535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oneCellAnchor>
  <xdr:oneCellAnchor>
    <xdr:from>
      <xdr:col>1</xdr:col>
      <xdr:colOff>85726</xdr:colOff>
      <xdr:row>1</xdr:row>
      <xdr:rowOff>142875</xdr:rowOff>
    </xdr:from>
    <xdr:ext cx="2552700" cy="1476375"/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SpPr/>
      </xdr:nvSpPr>
      <xdr:spPr>
        <a:xfrm>
          <a:off x="552451" y="676275"/>
          <a:ext cx="2552700" cy="1476375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oneCellAnchor>
  <xdr:oneCellAnchor>
    <xdr:from>
      <xdr:col>3</xdr:col>
      <xdr:colOff>19050</xdr:colOff>
      <xdr:row>5</xdr:row>
      <xdr:rowOff>104775</xdr:rowOff>
    </xdr:from>
    <xdr:ext cx="895350" cy="247650"/>
    <xdr:sp macro="" textlink="">
      <xdr:nvSpPr>
        <xdr:cNvPr id="8" name="Textfeld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SpPr txBox="1"/>
      </xdr:nvSpPr>
      <xdr:spPr>
        <a:xfrm>
          <a:off x="3429000" y="1933575"/>
          <a:ext cx="895350" cy="24765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free trial</a:t>
          </a:r>
        </a:p>
      </xdr:txBody>
    </xdr:sp>
    <xdr:clientData fPrintsWithSheet="0"/>
  </xdr:oneCellAnchor>
  <xdr:twoCellAnchor editAs="oneCell">
    <xdr:from>
      <xdr:col>1</xdr:col>
      <xdr:colOff>83512</xdr:colOff>
      <xdr:row>8</xdr:row>
      <xdr:rowOff>70300</xdr:rowOff>
    </xdr:from>
    <xdr:to>
      <xdr:col>3</xdr:col>
      <xdr:colOff>1952625</xdr:colOff>
      <xdr:row>35</xdr:row>
      <xdr:rowOff>161049</xdr:rowOff>
    </xdr:to>
    <xdr:pic>
      <xdr:nvPicPr>
        <xdr:cNvPr id="35" name="Grafik 3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50237" y="2489650"/>
          <a:ext cx="4812338" cy="5262824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10" name="Gruppieren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GrpSpPr/>
      </xdr:nvGrpSpPr>
      <xdr:grpSpPr>
        <a:xfrm>
          <a:off x="76200" y="114300"/>
          <a:ext cx="324000" cy="325465"/>
          <a:chOff x="12729063" y="1298331"/>
          <a:chExt cx="324000" cy="323267"/>
        </a:xfrm>
      </xdr:grpSpPr>
      <xdr:sp macro="" textlink="">
        <xdr:nvSpPr>
          <xdr:cNvPr id="11" name="Rechteck 10">
            <a:extLst>
              <a:ext uri="{FF2B5EF4-FFF2-40B4-BE49-F238E27FC236}">
                <a16:creationId xmlns:a16="http://schemas.microsoft.com/office/drawing/2014/main" id="{00000000-0008-0000-2100-00000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2" name="Grafik 1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100-00000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1304925</xdr:colOff>
      <xdr:row>4</xdr:row>
      <xdr:rowOff>351618</xdr:rowOff>
    </xdr:from>
    <xdr:to>
      <xdr:col>2</xdr:col>
      <xdr:colOff>1628925</xdr:colOff>
      <xdr:row>4</xdr:row>
      <xdr:rowOff>677083</xdr:rowOff>
    </xdr:to>
    <xdr:sp macro="" textlink="">
      <xdr:nvSpPr>
        <xdr:cNvPr id="2" name="Rechtec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>
          <a:spLocks noChangeAspect="1"/>
        </xdr:cNvSpPr>
      </xdr:nvSpPr>
      <xdr:spPr>
        <a:xfrm>
          <a:off x="2009775" y="1466043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ok</a:t>
          </a:r>
        </a:p>
      </xdr:txBody>
    </xdr:sp>
    <xdr:clientData fPrintsWithSheet="0"/>
  </xdr:twoCellAnchor>
  <xdr:twoCellAnchor editAs="oneCell">
    <xdr:from>
      <xdr:col>2</xdr:col>
      <xdr:colOff>9525</xdr:colOff>
      <xdr:row>3</xdr:row>
      <xdr:rowOff>104775</xdr:rowOff>
    </xdr:from>
    <xdr:to>
      <xdr:col>2</xdr:col>
      <xdr:colOff>904875</xdr:colOff>
      <xdr:row>5</xdr:row>
      <xdr:rowOff>95250</xdr:rowOff>
    </xdr:to>
    <xdr:pic>
      <xdr:nvPicPr>
        <xdr:cNvPr id="6" name="Grafik 5" descr="http://files.softicons.com/download/folder-icons/latt-sjo-icons-by-rick-patrick/png/128x128/Open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14375" y="1028700"/>
          <a:ext cx="89535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 editAs="oneCell">
    <xdr:from>
      <xdr:col>1</xdr:col>
      <xdr:colOff>85726</xdr:colOff>
      <xdr:row>1</xdr:row>
      <xdr:rowOff>142875</xdr:rowOff>
    </xdr:from>
    <xdr:to>
      <xdr:col>2</xdr:col>
      <xdr:colOff>2400301</xdr:colOff>
      <xdr:row>6</xdr:row>
      <xdr:rowOff>123825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SpPr/>
      </xdr:nvSpPr>
      <xdr:spPr>
        <a:xfrm>
          <a:off x="552451" y="676275"/>
          <a:ext cx="2552700" cy="1476375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oneCell">
    <xdr:from>
      <xdr:col>2</xdr:col>
      <xdr:colOff>1828800</xdr:colOff>
      <xdr:row>4</xdr:row>
      <xdr:rowOff>351618</xdr:rowOff>
    </xdr:from>
    <xdr:to>
      <xdr:col>2</xdr:col>
      <xdr:colOff>2152800</xdr:colOff>
      <xdr:row>4</xdr:row>
      <xdr:rowOff>677083</xdr:rowOff>
    </xdr:to>
    <xdr:grpSp>
      <xdr:nvGrpSpPr>
        <xdr:cNvPr id="8" name="Gruppieren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200-000008000000}"/>
            </a:ext>
          </a:extLst>
        </xdr:cNvPr>
        <xdr:cNvGrpSpPr/>
      </xdr:nvGrpSpPr>
      <xdr:grpSpPr>
        <a:xfrm>
          <a:off x="2552700" y="1486998"/>
          <a:ext cx="324000" cy="325465"/>
          <a:chOff x="9191625" y="300990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2200-00000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links 9">
            <a:extLst>
              <a:ext uri="{FF2B5EF4-FFF2-40B4-BE49-F238E27FC236}">
                <a16:creationId xmlns:a16="http://schemas.microsoft.com/office/drawing/2014/main" id="{00000000-0008-0000-2200-00000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3</xdr:col>
      <xdr:colOff>19050</xdr:colOff>
      <xdr:row>5</xdr:row>
      <xdr:rowOff>85725</xdr:rowOff>
    </xdr:from>
    <xdr:ext cx="895350" cy="247650"/>
    <xdr:sp macro="" textlink="">
      <xdr:nvSpPr>
        <xdr:cNvPr id="11" name="Textfeld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200-00000B000000}"/>
            </a:ext>
          </a:extLst>
        </xdr:cNvPr>
        <xdr:cNvSpPr txBox="1"/>
      </xdr:nvSpPr>
      <xdr:spPr>
        <a:xfrm>
          <a:off x="3429000" y="1914525"/>
          <a:ext cx="895350" cy="24765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free trial</a:t>
          </a:r>
        </a:p>
      </xdr:txBody>
    </xdr:sp>
    <xdr:clientData fPrintsWithSheet="0"/>
  </xdr:oneCellAnchor>
  <xdr:twoCellAnchor editAs="oneCell">
    <xdr:from>
      <xdr:col>1</xdr:col>
      <xdr:colOff>57151</xdr:colOff>
      <xdr:row>8</xdr:row>
      <xdr:rowOff>19051</xdr:rowOff>
    </xdr:from>
    <xdr:to>
      <xdr:col>5</xdr:col>
      <xdr:colOff>103056</xdr:colOff>
      <xdr:row>28</xdr:row>
      <xdr:rowOff>85726</xdr:rowOff>
    </xdr:to>
    <xdr:pic>
      <xdr:nvPicPr>
        <xdr:cNvPr id="3" name="Grafik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3876" y="2438401"/>
          <a:ext cx="6122855" cy="390525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2" name="Gruppieren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200-00000C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2200-00000D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4" name="Grafik 1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2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1304925</xdr:colOff>
      <xdr:row>4</xdr:row>
      <xdr:rowOff>351618</xdr:rowOff>
    </xdr:from>
    <xdr:to>
      <xdr:col>2</xdr:col>
      <xdr:colOff>1628925</xdr:colOff>
      <xdr:row>4</xdr:row>
      <xdr:rowOff>677083</xdr:rowOff>
    </xdr:to>
    <xdr:sp macro="" textlink="">
      <xdr:nvSpPr>
        <xdr:cNvPr id="2" name="Rechtec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>
          <a:spLocks noChangeAspect="1"/>
        </xdr:cNvSpPr>
      </xdr:nvSpPr>
      <xdr:spPr>
        <a:xfrm>
          <a:off x="2009775" y="1466043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ok</a:t>
          </a:r>
        </a:p>
      </xdr:txBody>
    </xdr:sp>
    <xdr:clientData fPrintsWithSheet="0"/>
  </xdr:twoCellAnchor>
  <xdr:twoCellAnchor editAs="oneCell">
    <xdr:from>
      <xdr:col>2</xdr:col>
      <xdr:colOff>9525</xdr:colOff>
      <xdr:row>3</xdr:row>
      <xdr:rowOff>104775</xdr:rowOff>
    </xdr:from>
    <xdr:to>
      <xdr:col>2</xdr:col>
      <xdr:colOff>904875</xdr:colOff>
      <xdr:row>5</xdr:row>
      <xdr:rowOff>95250</xdr:rowOff>
    </xdr:to>
    <xdr:pic>
      <xdr:nvPicPr>
        <xdr:cNvPr id="6" name="Grafik 5" descr="http://files.softicons.com/download/folder-icons/latt-sjo-icons-by-rick-patrick/png/128x128/Open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14375" y="1028700"/>
          <a:ext cx="89535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 editAs="oneCell">
    <xdr:from>
      <xdr:col>1</xdr:col>
      <xdr:colOff>85726</xdr:colOff>
      <xdr:row>1</xdr:row>
      <xdr:rowOff>142875</xdr:rowOff>
    </xdr:from>
    <xdr:to>
      <xdr:col>2</xdr:col>
      <xdr:colOff>2400301</xdr:colOff>
      <xdr:row>6</xdr:row>
      <xdr:rowOff>123825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2300-000007000000}"/>
            </a:ext>
          </a:extLst>
        </xdr:cNvPr>
        <xdr:cNvSpPr/>
      </xdr:nvSpPr>
      <xdr:spPr>
        <a:xfrm>
          <a:off x="552451" y="676275"/>
          <a:ext cx="2552700" cy="1476375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oneCell">
    <xdr:from>
      <xdr:col>2</xdr:col>
      <xdr:colOff>1743075</xdr:colOff>
      <xdr:row>4</xdr:row>
      <xdr:rowOff>352425</xdr:rowOff>
    </xdr:from>
    <xdr:to>
      <xdr:col>2</xdr:col>
      <xdr:colOff>2067075</xdr:colOff>
      <xdr:row>4</xdr:row>
      <xdr:rowOff>677890</xdr:rowOff>
    </xdr:to>
    <xdr:grpSp>
      <xdr:nvGrpSpPr>
        <xdr:cNvPr id="8" name="Gruppieren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GrpSpPr/>
      </xdr:nvGrpSpPr>
      <xdr:grpSpPr>
        <a:xfrm>
          <a:off x="2466975" y="1487805"/>
          <a:ext cx="324000" cy="325465"/>
          <a:chOff x="9191625" y="300990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2300-00000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links 9">
            <a:extLst>
              <a:ext uri="{FF2B5EF4-FFF2-40B4-BE49-F238E27FC236}">
                <a16:creationId xmlns:a16="http://schemas.microsoft.com/office/drawing/2014/main" id="{00000000-0008-0000-2300-00000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3</xdr:col>
      <xdr:colOff>28575</xdr:colOff>
      <xdr:row>5</xdr:row>
      <xdr:rowOff>85725</xdr:rowOff>
    </xdr:from>
    <xdr:ext cx="895350" cy="247650"/>
    <xdr:sp macro="" textlink="">
      <xdr:nvSpPr>
        <xdr:cNvPr id="11" name="Textfeld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300-00000B000000}"/>
            </a:ext>
          </a:extLst>
        </xdr:cNvPr>
        <xdr:cNvSpPr txBox="1"/>
      </xdr:nvSpPr>
      <xdr:spPr>
        <a:xfrm>
          <a:off x="3438525" y="1914525"/>
          <a:ext cx="895350" cy="24765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free trial</a:t>
          </a:r>
        </a:p>
      </xdr:txBody>
    </xdr:sp>
    <xdr:clientData fPrintsWithSheet="0"/>
  </xdr:oneCellAnchor>
  <xdr:twoCellAnchor editAs="oneCell">
    <xdr:from>
      <xdr:col>1</xdr:col>
      <xdr:colOff>19050</xdr:colOff>
      <xdr:row>9</xdr:row>
      <xdr:rowOff>0</xdr:rowOff>
    </xdr:from>
    <xdr:to>
      <xdr:col>6</xdr:col>
      <xdr:colOff>20853</xdr:colOff>
      <xdr:row>18</xdr:row>
      <xdr:rowOff>114300</xdr:rowOff>
    </xdr:to>
    <xdr:pic>
      <xdr:nvPicPr>
        <xdr:cNvPr id="3" name="Grafik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5775" y="2619375"/>
          <a:ext cx="6507378" cy="184785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2" name="Gruppieren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300-00000C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2300-00000D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4" name="Grafik 1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3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</xdr:colOff>
      <xdr:row>3</xdr:row>
      <xdr:rowOff>19050</xdr:rowOff>
    </xdr:from>
    <xdr:to>
      <xdr:col>1</xdr:col>
      <xdr:colOff>363150</xdr:colOff>
      <xdr:row>4</xdr:row>
      <xdr:rowOff>267900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GrpSpPr>
          <a:grpSpLocks noChangeAspect="1"/>
        </xdr:cNvGrpSpPr>
      </xdr:nvGrpSpPr>
      <xdr:grpSpPr>
        <a:xfrm>
          <a:off x="64770" y="880110"/>
          <a:ext cx="306000" cy="302190"/>
          <a:chOff x="9191625" y="3009900"/>
          <a:chExt cx="324000" cy="325465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2400-00000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Pfeil nach links 3">
            <a:extLst>
              <a:ext uri="{FF2B5EF4-FFF2-40B4-BE49-F238E27FC236}">
                <a16:creationId xmlns:a16="http://schemas.microsoft.com/office/drawing/2014/main" id="{00000000-0008-0000-2400-00000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16</xdr:row>
      <xdr:rowOff>9525</xdr:rowOff>
    </xdr:from>
    <xdr:to>
      <xdr:col>1</xdr:col>
      <xdr:colOff>372675</xdr:colOff>
      <xdr:row>17</xdr:row>
      <xdr:rowOff>10725</xdr:rowOff>
    </xdr:to>
    <xdr:grpSp>
      <xdr:nvGrpSpPr>
        <xdr:cNvPr id="5" name="Gruppieren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GrpSpPr>
          <a:grpSpLocks noChangeAspect="1"/>
        </xdr:cNvGrpSpPr>
      </xdr:nvGrpSpPr>
      <xdr:grpSpPr>
        <a:xfrm>
          <a:off x="74295" y="3888105"/>
          <a:ext cx="306000" cy="306000"/>
          <a:chOff x="9191625" y="3009900"/>
          <a:chExt cx="324000" cy="325465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2400-00000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links 6">
            <a:extLst>
              <a:ext uri="{FF2B5EF4-FFF2-40B4-BE49-F238E27FC236}">
                <a16:creationId xmlns:a16="http://schemas.microsoft.com/office/drawing/2014/main" id="{00000000-0008-0000-2400-00000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28</xdr:row>
      <xdr:rowOff>9525</xdr:rowOff>
    </xdr:from>
    <xdr:to>
      <xdr:col>1</xdr:col>
      <xdr:colOff>372675</xdr:colOff>
      <xdr:row>29</xdr:row>
      <xdr:rowOff>10725</xdr:rowOff>
    </xdr:to>
    <xdr:grpSp>
      <xdr:nvGrpSpPr>
        <xdr:cNvPr id="8" name="Gruppier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400-000008000000}"/>
            </a:ext>
          </a:extLst>
        </xdr:cNvPr>
        <xdr:cNvGrpSpPr>
          <a:grpSpLocks noChangeAspect="1"/>
        </xdr:cNvGrpSpPr>
      </xdr:nvGrpSpPr>
      <xdr:grpSpPr>
        <a:xfrm>
          <a:off x="74295" y="6143625"/>
          <a:ext cx="306000" cy="306000"/>
          <a:chOff x="9191625" y="300990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2400-00000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links 9">
            <a:extLst>
              <a:ext uri="{FF2B5EF4-FFF2-40B4-BE49-F238E27FC236}">
                <a16:creationId xmlns:a16="http://schemas.microsoft.com/office/drawing/2014/main" id="{00000000-0008-0000-2400-00000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40</xdr:row>
      <xdr:rowOff>9525</xdr:rowOff>
    </xdr:from>
    <xdr:to>
      <xdr:col>1</xdr:col>
      <xdr:colOff>372675</xdr:colOff>
      <xdr:row>41</xdr:row>
      <xdr:rowOff>10725</xdr:rowOff>
    </xdr:to>
    <xdr:grpSp>
      <xdr:nvGrpSpPr>
        <xdr:cNvPr id="11" name="Gruppieren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400-00000B000000}"/>
            </a:ext>
          </a:extLst>
        </xdr:cNvPr>
        <xdr:cNvGrpSpPr>
          <a:grpSpLocks noChangeAspect="1"/>
        </xdr:cNvGrpSpPr>
      </xdr:nvGrpSpPr>
      <xdr:grpSpPr>
        <a:xfrm>
          <a:off x="74295" y="8399145"/>
          <a:ext cx="306000" cy="306000"/>
          <a:chOff x="9191625" y="30099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2400-00000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links 12">
            <a:extLst>
              <a:ext uri="{FF2B5EF4-FFF2-40B4-BE49-F238E27FC236}">
                <a16:creationId xmlns:a16="http://schemas.microsoft.com/office/drawing/2014/main" id="{00000000-0008-0000-2400-00000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52</xdr:row>
      <xdr:rowOff>9525</xdr:rowOff>
    </xdr:from>
    <xdr:to>
      <xdr:col>1</xdr:col>
      <xdr:colOff>372675</xdr:colOff>
      <xdr:row>53</xdr:row>
      <xdr:rowOff>10725</xdr:rowOff>
    </xdr:to>
    <xdr:grpSp>
      <xdr:nvGrpSpPr>
        <xdr:cNvPr id="14" name="Gruppieren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400-00000E000000}"/>
            </a:ext>
          </a:extLst>
        </xdr:cNvPr>
        <xdr:cNvGrpSpPr>
          <a:grpSpLocks noChangeAspect="1"/>
        </xdr:cNvGrpSpPr>
      </xdr:nvGrpSpPr>
      <xdr:grpSpPr>
        <a:xfrm>
          <a:off x="74295" y="10654665"/>
          <a:ext cx="306000" cy="306000"/>
          <a:chOff x="9191625" y="3009900"/>
          <a:chExt cx="324000" cy="325465"/>
        </a:xfrm>
      </xdr:grpSpPr>
      <xdr:sp macro="" textlink="">
        <xdr:nvSpPr>
          <xdr:cNvPr id="15" name="Rechteck 14">
            <a:extLst>
              <a:ext uri="{FF2B5EF4-FFF2-40B4-BE49-F238E27FC236}">
                <a16:creationId xmlns:a16="http://schemas.microsoft.com/office/drawing/2014/main" id="{00000000-0008-0000-2400-00000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" name="Pfeil nach links 15">
            <a:extLst>
              <a:ext uri="{FF2B5EF4-FFF2-40B4-BE49-F238E27FC236}">
                <a16:creationId xmlns:a16="http://schemas.microsoft.com/office/drawing/2014/main" id="{00000000-0008-0000-2400-00001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64</xdr:row>
      <xdr:rowOff>9525</xdr:rowOff>
    </xdr:from>
    <xdr:to>
      <xdr:col>1</xdr:col>
      <xdr:colOff>372675</xdr:colOff>
      <xdr:row>65</xdr:row>
      <xdr:rowOff>10725</xdr:rowOff>
    </xdr:to>
    <xdr:grpSp>
      <xdr:nvGrpSpPr>
        <xdr:cNvPr id="17" name="Gruppieren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400-000011000000}"/>
            </a:ext>
          </a:extLst>
        </xdr:cNvPr>
        <xdr:cNvGrpSpPr>
          <a:grpSpLocks noChangeAspect="1"/>
        </xdr:cNvGrpSpPr>
      </xdr:nvGrpSpPr>
      <xdr:grpSpPr>
        <a:xfrm>
          <a:off x="74295" y="12910185"/>
          <a:ext cx="306000" cy="306000"/>
          <a:chOff x="9191625" y="3009900"/>
          <a:chExt cx="324000" cy="325465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2400-00001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" name="Pfeil nach links 18">
            <a:extLst>
              <a:ext uri="{FF2B5EF4-FFF2-40B4-BE49-F238E27FC236}">
                <a16:creationId xmlns:a16="http://schemas.microsoft.com/office/drawing/2014/main" id="{00000000-0008-0000-2400-00001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76</xdr:row>
      <xdr:rowOff>9525</xdr:rowOff>
    </xdr:from>
    <xdr:to>
      <xdr:col>1</xdr:col>
      <xdr:colOff>372675</xdr:colOff>
      <xdr:row>77</xdr:row>
      <xdr:rowOff>10725</xdr:rowOff>
    </xdr:to>
    <xdr:grpSp>
      <xdr:nvGrpSpPr>
        <xdr:cNvPr id="20" name="Gruppieren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400-000014000000}"/>
            </a:ext>
          </a:extLst>
        </xdr:cNvPr>
        <xdr:cNvGrpSpPr>
          <a:grpSpLocks noChangeAspect="1"/>
        </xdr:cNvGrpSpPr>
      </xdr:nvGrpSpPr>
      <xdr:grpSpPr>
        <a:xfrm>
          <a:off x="74295" y="15165705"/>
          <a:ext cx="306000" cy="306000"/>
          <a:chOff x="9191625" y="3009900"/>
          <a:chExt cx="324000" cy="325465"/>
        </a:xfrm>
      </xdr:grpSpPr>
      <xdr:sp macro="" textlink="">
        <xdr:nvSpPr>
          <xdr:cNvPr id="21" name="Rechteck 20">
            <a:extLst>
              <a:ext uri="{FF2B5EF4-FFF2-40B4-BE49-F238E27FC236}">
                <a16:creationId xmlns:a16="http://schemas.microsoft.com/office/drawing/2014/main" id="{00000000-0008-0000-2400-00001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" name="Pfeil nach links 21">
            <a:extLst>
              <a:ext uri="{FF2B5EF4-FFF2-40B4-BE49-F238E27FC236}">
                <a16:creationId xmlns:a16="http://schemas.microsoft.com/office/drawing/2014/main" id="{00000000-0008-0000-2400-00001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88</xdr:row>
      <xdr:rowOff>9525</xdr:rowOff>
    </xdr:from>
    <xdr:to>
      <xdr:col>1</xdr:col>
      <xdr:colOff>372675</xdr:colOff>
      <xdr:row>89</xdr:row>
      <xdr:rowOff>10725</xdr:rowOff>
    </xdr:to>
    <xdr:grpSp>
      <xdr:nvGrpSpPr>
        <xdr:cNvPr id="23" name="Gruppieren 2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2400-000017000000}"/>
            </a:ext>
          </a:extLst>
        </xdr:cNvPr>
        <xdr:cNvGrpSpPr>
          <a:grpSpLocks noChangeAspect="1"/>
        </xdr:cNvGrpSpPr>
      </xdr:nvGrpSpPr>
      <xdr:grpSpPr>
        <a:xfrm>
          <a:off x="74295" y="17421225"/>
          <a:ext cx="306000" cy="306000"/>
          <a:chOff x="9191625" y="3009900"/>
          <a:chExt cx="324000" cy="325465"/>
        </a:xfrm>
      </xdr:grpSpPr>
      <xdr:sp macro="" textlink="">
        <xdr:nvSpPr>
          <xdr:cNvPr id="24" name="Rechteck 23">
            <a:extLst>
              <a:ext uri="{FF2B5EF4-FFF2-40B4-BE49-F238E27FC236}">
                <a16:creationId xmlns:a16="http://schemas.microsoft.com/office/drawing/2014/main" id="{00000000-0008-0000-2400-00001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5" name="Pfeil nach links 24">
            <a:extLst>
              <a:ext uri="{FF2B5EF4-FFF2-40B4-BE49-F238E27FC236}">
                <a16:creationId xmlns:a16="http://schemas.microsoft.com/office/drawing/2014/main" id="{00000000-0008-0000-2400-00001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100</xdr:row>
      <xdr:rowOff>9525</xdr:rowOff>
    </xdr:from>
    <xdr:to>
      <xdr:col>1</xdr:col>
      <xdr:colOff>372675</xdr:colOff>
      <xdr:row>101</xdr:row>
      <xdr:rowOff>10725</xdr:rowOff>
    </xdr:to>
    <xdr:grpSp>
      <xdr:nvGrpSpPr>
        <xdr:cNvPr id="26" name="Gruppieren 2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2400-00001A000000}"/>
            </a:ext>
          </a:extLst>
        </xdr:cNvPr>
        <xdr:cNvGrpSpPr>
          <a:grpSpLocks noChangeAspect="1"/>
        </xdr:cNvGrpSpPr>
      </xdr:nvGrpSpPr>
      <xdr:grpSpPr>
        <a:xfrm>
          <a:off x="74295" y="19676745"/>
          <a:ext cx="306000" cy="306000"/>
          <a:chOff x="9191625" y="3009900"/>
          <a:chExt cx="324000" cy="325465"/>
        </a:xfrm>
      </xdr:grpSpPr>
      <xdr:sp macro="" textlink="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2400-00001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8" name="Pfeil nach links 27">
            <a:extLst>
              <a:ext uri="{FF2B5EF4-FFF2-40B4-BE49-F238E27FC236}">
                <a16:creationId xmlns:a16="http://schemas.microsoft.com/office/drawing/2014/main" id="{00000000-0008-0000-2400-00001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112</xdr:row>
      <xdr:rowOff>9525</xdr:rowOff>
    </xdr:from>
    <xdr:to>
      <xdr:col>1</xdr:col>
      <xdr:colOff>372675</xdr:colOff>
      <xdr:row>113</xdr:row>
      <xdr:rowOff>10725</xdr:rowOff>
    </xdr:to>
    <xdr:grpSp>
      <xdr:nvGrpSpPr>
        <xdr:cNvPr id="29" name="Gruppieren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2400-00001D000000}"/>
            </a:ext>
          </a:extLst>
        </xdr:cNvPr>
        <xdr:cNvGrpSpPr>
          <a:grpSpLocks noChangeAspect="1"/>
        </xdr:cNvGrpSpPr>
      </xdr:nvGrpSpPr>
      <xdr:grpSpPr>
        <a:xfrm>
          <a:off x="74295" y="21932265"/>
          <a:ext cx="306000" cy="306000"/>
          <a:chOff x="9191625" y="3009900"/>
          <a:chExt cx="324000" cy="325465"/>
        </a:xfrm>
      </xdr:grpSpPr>
      <xdr:sp macro="" textlink="">
        <xdr:nvSpPr>
          <xdr:cNvPr id="30" name="Rechteck 29">
            <a:extLst>
              <a:ext uri="{FF2B5EF4-FFF2-40B4-BE49-F238E27FC236}">
                <a16:creationId xmlns:a16="http://schemas.microsoft.com/office/drawing/2014/main" id="{00000000-0008-0000-2400-00001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1" name="Pfeil nach links 30">
            <a:extLst>
              <a:ext uri="{FF2B5EF4-FFF2-40B4-BE49-F238E27FC236}">
                <a16:creationId xmlns:a16="http://schemas.microsoft.com/office/drawing/2014/main" id="{00000000-0008-0000-2400-00001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124</xdr:row>
      <xdr:rowOff>9525</xdr:rowOff>
    </xdr:from>
    <xdr:to>
      <xdr:col>1</xdr:col>
      <xdr:colOff>372675</xdr:colOff>
      <xdr:row>125</xdr:row>
      <xdr:rowOff>10725</xdr:rowOff>
    </xdr:to>
    <xdr:grpSp>
      <xdr:nvGrpSpPr>
        <xdr:cNvPr id="32" name="Gruppieren 3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2400-000020000000}"/>
            </a:ext>
          </a:extLst>
        </xdr:cNvPr>
        <xdr:cNvGrpSpPr>
          <a:grpSpLocks noChangeAspect="1"/>
        </xdr:cNvGrpSpPr>
      </xdr:nvGrpSpPr>
      <xdr:grpSpPr>
        <a:xfrm>
          <a:off x="74295" y="24187785"/>
          <a:ext cx="306000" cy="306000"/>
          <a:chOff x="9191625" y="3009900"/>
          <a:chExt cx="324000" cy="325465"/>
        </a:xfrm>
      </xdr:grpSpPr>
      <xdr:sp macro="" textlink="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2400-00002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4" name="Pfeil nach links 33">
            <a:extLst>
              <a:ext uri="{FF2B5EF4-FFF2-40B4-BE49-F238E27FC236}">
                <a16:creationId xmlns:a16="http://schemas.microsoft.com/office/drawing/2014/main" id="{00000000-0008-0000-2400-00002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136</xdr:row>
      <xdr:rowOff>9525</xdr:rowOff>
    </xdr:from>
    <xdr:to>
      <xdr:col>1</xdr:col>
      <xdr:colOff>372675</xdr:colOff>
      <xdr:row>137</xdr:row>
      <xdr:rowOff>10725</xdr:rowOff>
    </xdr:to>
    <xdr:grpSp>
      <xdr:nvGrpSpPr>
        <xdr:cNvPr id="35" name="Gruppieren 3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2400-000023000000}"/>
            </a:ext>
          </a:extLst>
        </xdr:cNvPr>
        <xdr:cNvGrpSpPr>
          <a:grpSpLocks noChangeAspect="1"/>
        </xdr:cNvGrpSpPr>
      </xdr:nvGrpSpPr>
      <xdr:grpSpPr>
        <a:xfrm>
          <a:off x="74295" y="26443305"/>
          <a:ext cx="306000" cy="306000"/>
          <a:chOff x="9191625" y="3009900"/>
          <a:chExt cx="324000" cy="325465"/>
        </a:xfrm>
      </xdr:grpSpPr>
      <xdr:sp macro="" textlink="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2400-00002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7" name="Pfeil nach links 36">
            <a:extLst>
              <a:ext uri="{FF2B5EF4-FFF2-40B4-BE49-F238E27FC236}">
                <a16:creationId xmlns:a16="http://schemas.microsoft.com/office/drawing/2014/main" id="{00000000-0008-0000-2400-00002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148</xdr:row>
      <xdr:rowOff>9525</xdr:rowOff>
    </xdr:from>
    <xdr:to>
      <xdr:col>1</xdr:col>
      <xdr:colOff>372675</xdr:colOff>
      <xdr:row>149</xdr:row>
      <xdr:rowOff>10725</xdr:rowOff>
    </xdr:to>
    <xdr:grpSp>
      <xdr:nvGrpSpPr>
        <xdr:cNvPr id="38" name="Gruppieren 3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2400-000026000000}"/>
            </a:ext>
          </a:extLst>
        </xdr:cNvPr>
        <xdr:cNvGrpSpPr>
          <a:grpSpLocks noChangeAspect="1"/>
        </xdr:cNvGrpSpPr>
      </xdr:nvGrpSpPr>
      <xdr:grpSpPr>
        <a:xfrm>
          <a:off x="74295" y="28698825"/>
          <a:ext cx="306000" cy="306000"/>
          <a:chOff x="9191625" y="3009900"/>
          <a:chExt cx="324000" cy="325465"/>
        </a:xfrm>
      </xdr:grpSpPr>
      <xdr:sp macro="" textlink="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2400-00002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0" name="Pfeil nach links 39">
            <a:extLst>
              <a:ext uri="{FF2B5EF4-FFF2-40B4-BE49-F238E27FC236}">
                <a16:creationId xmlns:a16="http://schemas.microsoft.com/office/drawing/2014/main" id="{00000000-0008-0000-2400-00002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160</xdr:row>
      <xdr:rowOff>9525</xdr:rowOff>
    </xdr:from>
    <xdr:to>
      <xdr:col>1</xdr:col>
      <xdr:colOff>372675</xdr:colOff>
      <xdr:row>161</xdr:row>
      <xdr:rowOff>10725</xdr:rowOff>
    </xdr:to>
    <xdr:grpSp>
      <xdr:nvGrpSpPr>
        <xdr:cNvPr id="41" name="Gruppieren 40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2400-000029000000}"/>
            </a:ext>
          </a:extLst>
        </xdr:cNvPr>
        <xdr:cNvGrpSpPr>
          <a:grpSpLocks noChangeAspect="1"/>
        </xdr:cNvGrpSpPr>
      </xdr:nvGrpSpPr>
      <xdr:grpSpPr>
        <a:xfrm>
          <a:off x="74295" y="30954345"/>
          <a:ext cx="306000" cy="306000"/>
          <a:chOff x="9191625" y="3009900"/>
          <a:chExt cx="324000" cy="325465"/>
        </a:xfrm>
      </xdr:grpSpPr>
      <xdr:sp macro="" textlink="">
        <xdr:nvSpPr>
          <xdr:cNvPr id="42" name="Rechteck 41">
            <a:extLst>
              <a:ext uri="{FF2B5EF4-FFF2-40B4-BE49-F238E27FC236}">
                <a16:creationId xmlns:a16="http://schemas.microsoft.com/office/drawing/2014/main" id="{00000000-0008-0000-2400-00002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3" name="Pfeil nach links 42">
            <a:extLst>
              <a:ext uri="{FF2B5EF4-FFF2-40B4-BE49-F238E27FC236}">
                <a16:creationId xmlns:a16="http://schemas.microsoft.com/office/drawing/2014/main" id="{00000000-0008-0000-2400-00002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172</xdr:row>
      <xdr:rowOff>9525</xdr:rowOff>
    </xdr:from>
    <xdr:to>
      <xdr:col>1</xdr:col>
      <xdr:colOff>372675</xdr:colOff>
      <xdr:row>173</xdr:row>
      <xdr:rowOff>10725</xdr:rowOff>
    </xdr:to>
    <xdr:grpSp>
      <xdr:nvGrpSpPr>
        <xdr:cNvPr id="44" name="Gruppieren 43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2400-00002C000000}"/>
            </a:ext>
          </a:extLst>
        </xdr:cNvPr>
        <xdr:cNvGrpSpPr>
          <a:grpSpLocks noChangeAspect="1"/>
        </xdr:cNvGrpSpPr>
      </xdr:nvGrpSpPr>
      <xdr:grpSpPr>
        <a:xfrm>
          <a:off x="74295" y="33209865"/>
          <a:ext cx="306000" cy="306000"/>
          <a:chOff x="9191625" y="3009900"/>
          <a:chExt cx="324000" cy="325465"/>
        </a:xfrm>
      </xdr:grpSpPr>
      <xdr:sp macro="" textlink="">
        <xdr:nvSpPr>
          <xdr:cNvPr id="45" name="Rechteck 44">
            <a:extLst>
              <a:ext uri="{FF2B5EF4-FFF2-40B4-BE49-F238E27FC236}">
                <a16:creationId xmlns:a16="http://schemas.microsoft.com/office/drawing/2014/main" id="{00000000-0008-0000-2400-00002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6" name="Pfeil nach links 45">
            <a:extLst>
              <a:ext uri="{FF2B5EF4-FFF2-40B4-BE49-F238E27FC236}">
                <a16:creationId xmlns:a16="http://schemas.microsoft.com/office/drawing/2014/main" id="{00000000-0008-0000-2400-00002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184</xdr:row>
      <xdr:rowOff>9525</xdr:rowOff>
    </xdr:from>
    <xdr:to>
      <xdr:col>1</xdr:col>
      <xdr:colOff>372675</xdr:colOff>
      <xdr:row>185</xdr:row>
      <xdr:rowOff>10725</xdr:rowOff>
    </xdr:to>
    <xdr:grpSp>
      <xdr:nvGrpSpPr>
        <xdr:cNvPr id="47" name="Gruppieren 46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2400-00002F000000}"/>
            </a:ext>
          </a:extLst>
        </xdr:cNvPr>
        <xdr:cNvGrpSpPr>
          <a:grpSpLocks noChangeAspect="1"/>
        </xdr:cNvGrpSpPr>
      </xdr:nvGrpSpPr>
      <xdr:grpSpPr>
        <a:xfrm>
          <a:off x="74295" y="35465385"/>
          <a:ext cx="306000" cy="306000"/>
          <a:chOff x="9191625" y="3009900"/>
          <a:chExt cx="324000" cy="325465"/>
        </a:xfrm>
      </xdr:grpSpPr>
      <xdr:sp macro="" textlink="">
        <xdr:nvSpPr>
          <xdr:cNvPr id="48" name="Rechteck 47">
            <a:extLst>
              <a:ext uri="{FF2B5EF4-FFF2-40B4-BE49-F238E27FC236}">
                <a16:creationId xmlns:a16="http://schemas.microsoft.com/office/drawing/2014/main" id="{00000000-0008-0000-2400-00003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9" name="Pfeil nach links 48">
            <a:extLst>
              <a:ext uri="{FF2B5EF4-FFF2-40B4-BE49-F238E27FC236}">
                <a16:creationId xmlns:a16="http://schemas.microsoft.com/office/drawing/2014/main" id="{00000000-0008-0000-2400-00003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196</xdr:row>
      <xdr:rowOff>9525</xdr:rowOff>
    </xdr:from>
    <xdr:to>
      <xdr:col>1</xdr:col>
      <xdr:colOff>372675</xdr:colOff>
      <xdr:row>197</xdr:row>
      <xdr:rowOff>10725</xdr:rowOff>
    </xdr:to>
    <xdr:grpSp>
      <xdr:nvGrpSpPr>
        <xdr:cNvPr id="50" name="Gruppieren 4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2400-000032000000}"/>
            </a:ext>
          </a:extLst>
        </xdr:cNvPr>
        <xdr:cNvGrpSpPr>
          <a:grpSpLocks noChangeAspect="1"/>
        </xdr:cNvGrpSpPr>
      </xdr:nvGrpSpPr>
      <xdr:grpSpPr>
        <a:xfrm>
          <a:off x="74295" y="37720905"/>
          <a:ext cx="306000" cy="306000"/>
          <a:chOff x="9191625" y="3009900"/>
          <a:chExt cx="324000" cy="325465"/>
        </a:xfrm>
      </xdr:grpSpPr>
      <xdr:sp macro="" textlink="">
        <xdr:nvSpPr>
          <xdr:cNvPr id="51" name="Rechteck 50">
            <a:extLst>
              <a:ext uri="{FF2B5EF4-FFF2-40B4-BE49-F238E27FC236}">
                <a16:creationId xmlns:a16="http://schemas.microsoft.com/office/drawing/2014/main" id="{00000000-0008-0000-2400-00003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2" name="Pfeil nach links 51">
            <a:extLst>
              <a:ext uri="{FF2B5EF4-FFF2-40B4-BE49-F238E27FC236}">
                <a16:creationId xmlns:a16="http://schemas.microsoft.com/office/drawing/2014/main" id="{00000000-0008-0000-2400-00003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208</xdr:row>
      <xdr:rowOff>9525</xdr:rowOff>
    </xdr:from>
    <xdr:to>
      <xdr:col>1</xdr:col>
      <xdr:colOff>372675</xdr:colOff>
      <xdr:row>209</xdr:row>
      <xdr:rowOff>10725</xdr:rowOff>
    </xdr:to>
    <xdr:grpSp>
      <xdr:nvGrpSpPr>
        <xdr:cNvPr id="53" name="Gruppieren 52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2400-000035000000}"/>
            </a:ext>
          </a:extLst>
        </xdr:cNvPr>
        <xdr:cNvGrpSpPr>
          <a:grpSpLocks noChangeAspect="1"/>
        </xdr:cNvGrpSpPr>
      </xdr:nvGrpSpPr>
      <xdr:grpSpPr>
        <a:xfrm>
          <a:off x="74295" y="39976425"/>
          <a:ext cx="306000" cy="306000"/>
          <a:chOff x="9191625" y="3009900"/>
          <a:chExt cx="324000" cy="325465"/>
        </a:xfrm>
      </xdr:grpSpPr>
      <xdr:sp macro="" textlink="">
        <xdr:nvSpPr>
          <xdr:cNvPr id="54" name="Rechteck 53">
            <a:extLst>
              <a:ext uri="{FF2B5EF4-FFF2-40B4-BE49-F238E27FC236}">
                <a16:creationId xmlns:a16="http://schemas.microsoft.com/office/drawing/2014/main" id="{00000000-0008-0000-2400-00003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5" name="Pfeil nach links 54">
            <a:extLst>
              <a:ext uri="{FF2B5EF4-FFF2-40B4-BE49-F238E27FC236}">
                <a16:creationId xmlns:a16="http://schemas.microsoft.com/office/drawing/2014/main" id="{00000000-0008-0000-2400-00003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220</xdr:row>
      <xdr:rowOff>9525</xdr:rowOff>
    </xdr:from>
    <xdr:to>
      <xdr:col>1</xdr:col>
      <xdr:colOff>372675</xdr:colOff>
      <xdr:row>221</xdr:row>
      <xdr:rowOff>10725</xdr:rowOff>
    </xdr:to>
    <xdr:grpSp>
      <xdr:nvGrpSpPr>
        <xdr:cNvPr id="56" name="Gruppieren 55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2400-000038000000}"/>
            </a:ext>
          </a:extLst>
        </xdr:cNvPr>
        <xdr:cNvGrpSpPr>
          <a:grpSpLocks noChangeAspect="1"/>
        </xdr:cNvGrpSpPr>
      </xdr:nvGrpSpPr>
      <xdr:grpSpPr>
        <a:xfrm>
          <a:off x="74295" y="42231945"/>
          <a:ext cx="306000" cy="306000"/>
          <a:chOff x="9191625" y="3009900"/>
          <a:chExt cx="324000" cy="325465"/>
        </a:xfrm>
      </xdr:grpSpPr>
      <xdr:sp macro="" textlink="">
        <xdr:nvSpPr>
          <xdr:cNvPr id="57" name="Rechteck 56">
            <a:extLst>
              <a:ext uri="{FF2B5EF4-FFF2-40B4-BE49-F238E27FC236}">
                <a16:creationId xmlns:a16="http://schemas.microsoft.com/office/drawing/2014/main" id="{00000000-0008-0000-2400-00003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8" name="Pfeil nach links 57">
            <a:extLst>
              <a:ext uri="{FF2B5EF4-FFF2-40B4-BE49-F238E27FC236}">
                <a16:creationId xmlns:a16="http://schemas.microsoft.com/office/drawing/2014/main" id="{00000000-0008-0000-2400-00003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232</xdr:row>
      <xdr:rowOff>9525</xdr:rowOff>
    </xdr:from>
    <xdr:to>
      <xdr:col>1</xdr:col>
      <xdr:colOff>372675</xdr:colOff>
      <xdr:row>233</xdr:row>
      <xdr:rowOff>10725</xdr:rowOff>
    </xdr:to>
    <xdr:grpSp>
      <xdr:nvGrpSpPr>
        <xdr:cNvPr id="59" name="Gruppieren 58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2400-00003B000000}"/>
            </a:ext>
          </a:extLst>
        </xdr:cNvPr>
        <xdr:cNvGrpSpPr>
          <a:grpSpLocks noChangeAspect="1"/>
        </xdr:cNvGrpSpPr>
      </xdr:nvGrpSpPr>
      <xdr:grpSpPr>
        <a:xfrm>
          <a:off x="74295" y="44487465"/>
          <a:ext cx="306000" cy="306000"/>
          <a:chOff x="9191625" y="3009900"/>
          <a:chExt cx="324000" cy="325465"/>
        </a:xfrm>
      </xdr:grpSpPr>
      <xdr:sp macro="" textlink="">
        <xdr:nvSpPr>
          <xdr:cNvPr id="60" name="Rechteck 59">
            <a:extLst>
              <a:ext uri="{FF2B5EF4-FFF2-40B4-BE49-F238E27FC236}">
                <a16:creationId xmlns:a16="http://schemas.microsoft.com/office/drawing/2014/main" id="{00000000-0008-0000-2400-00003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1" name="Pfeil nach links 60">
            <a:extLst>
              <a:ext uri="{FF2B5EF4-FFF2-40B4-BE49-F238E27FC236}">
                <a16:creationId xmlns:a16="http://schemas.microsoft.com/office/drawing/2014/main" id="{00000000-0008-0000-2400-00003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244</xdr:row>
      <xdr:rowOff>9525</xdr:rowOff>
    </xdr:from>
    <xdr:to>
      <xdr:col>1</xdr:col>
      <xdr:colOff>372675</xdr:colOff>
      <xdr:row>245</xdr:row>
      <xdr:rowOff>10725</xdr:rowOff>
    </xdr:to>
    <xdr:grpSp>
      <xdr:nvGrpSpPr>
        <xdr:cNvPr id="62" name="Gruppieren 61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2400-00003E000000}"/>
            </a:ext>
          </a:extLst>
        </xdr:cNvPr>
        <xdr:cNvGrpSpPr>
          <a:grpSpLocks noChangeAspect="1"/>
        </xdr:cNvGrpSpPr>
      </xdr:nvGrpSpPr>
      <xdr:grpSpPr>
        <a:xfrm>
          <a:off x="74295" y="46742985"/>
          <a:ext cx="306000" cy="306000"/>
          <a:chOff x="9191625" y="3009900"/>
          <a:chExt cx="324000" cy="325465"/>
        </a:xfrm>
      </xdr:grpSpPr>
      <xdr:sp macro="" textlink="">
        <xdr:nvSpPr>
          <xdr:cNvPr id="63" name="Rechteck 62">
            <a:extLst>
              <a:ext uri="{FF2B5EF4-FFF2-40B4-BE49-F238E27FC236}">
                <a16:creationId xmlns:a16="http://schemas.microsoft.com/office/drawing/2014/main" id="{00000000-0008-0000-2400-00003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4" name="Pfeil nach links 63">
            <a:extLst>
              <a:ext uri="{FF2B5EF4-FFF2-40B4-BE49-F238E27FC236}">
                <a16:creationId xmlns:a16="http://schemas.microsoft.com/office/drawing/2014/main" id="{00000000-0008-0000-2400-00004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256</xdr:row>
      <xdr:rowOff>9525</xdr:rowOff>
    </xdr:from>
    <xdr:to>
      <xdr:col>1</xdr:col>
      <xdr:colOff>372675</xdr:colOff>
      <xdr:row>257</xdr:row>
      <xdr:rowOff>10725</xdr:rowOff>
    </xdr:to>
    <xdr:grpSp>
      <xdr:nvGrpSpPr>
        <xdr:cNvPr id="65" name="Gruppieren 64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2400-000041000000}"/>
            </a:ext>
          </a:extLst>
        </xdr:cNvPr>
        <xdr:cNvGrpSpPr>
          <a:grpSpLocks noChangeAspect="1"/>
        </xdr:cNvGrpSpPr>
      </xdr:nvGrpSpPr>
      <xdr:grpSpPr>
        <a:xfrm>
          <a:off x="74295" y="48998505"/>
          <a:ext cx="306000" cy="306000"/>
          <a:chOff x="9191625" y="3009900"/>
          <a:chExt cx="324000" cy="325465"/>
        </a:xfrm>
      </xdr:grpSpPr>
      <xdr:sp macro="" textlink="">
        <xdr:nvSpPr>
          <xdr:cNvPr id="66" name="Rechteck 65">
            <a:extLst>
              <a:ext uri="{FF2B5EF4-FFF2-40B4-BE49-F238E27FC236}">
                <a16:creationId xmlns:a16="http://schemas.microsoft.com/office/drawing/2014/main" id="{00000000-0008-0000-2400-00004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7" name="Pfeil nach links 66">
            <a:extLst>
              <a:ext uri="{FF2B5EF4-FFF2-40B4-BE49-F238E27FC236}">
                <a16:creationId xmlns:a16="http://schemas.microsoft.com/office/drawing/2014/main" id="{00000000-0008-0000-2400-00004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268</xdr:row>
      <xdr:rowOff>9525</xdr:rowOff>
    </xdr:from>
    <xdr:to>
      <xdr:col>1</xdr:col>
      <xdr:colOff>372675</xdr:colOff>
      <xdr:row>269</xdr:row>
      <xdr:rowOff>10725</xdr:rowOff>
    </xdr:to>
    <xdr:grpSp>
      <xdr:nvGrpSpPr>
        <xdr:cNvPr id="68" name="Gruppieren 67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2400-000044000000}"/>
            </a:ext>
          </a:extLst>
        </xdr:cNvPr>
        <xdr:cNvGrpSpPr>
          <a:grpSpLocks noChangeAspect="1"/>
        </xdr:cNvGrpSpPr>
      </xdr:nvGrpSpPr>
      <xdr:grpSpPr>
        <a:xfrm>
          <a:off x="74295" y="51254025"/>
          <a:ext cx="306000" cy="306000"/>
          <a:chOff x="9191625" y="3009900"/>
          <a:chExt cx="324000" cy="325465"/>
        </a:xfrm>
      </xdr:grpSpPr>
      <xdr:sp macro="" textlink="">
        <xdr:nvSpPr>
          <xdr:cNvPr id="69" name="Rechteck 68">
            <a:extLst>
              <a:ext uri="{FF2B5EF4-FFF2-40B4-BE49-F238E27FC236}">
                <a16:creationId xmlns:a16="http://schemas.microsoft.com/office/drawing/2014/main" id="{00000000-0008-0000-2400-00004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0" name="Pfeil nach links 69">
            <a:extLst>
              <a:ext uri="{FF2B5EF4-FFF2-40B4-BE49-F238E27FC236}">
                <a16:creationId xmlns:a16="http://schemas.microsoft.com/office/drawing/2014/main" id="{00000000-0008-0000-2400-00004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280</xdr:row>
      <xdr:rowOff>9525</xdr:rowOff>
    </xdr:from>
    <xdr:to>
      <xdr:col>1</xdr:col>
      <xdr:colOff>372675</xdr:colOff>
      <xdr:row>281</xdr:row>
      <xdr:rowOff>10725</xdr:rowOff>
    </xdr:to>
    <xdr:grpSp>
      <xdr:nvGrpSpPr>
        <xdr:cNvPr id="71" name="Gruppieren 70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2400-000047000000}"/>
            </a:ext>
          </a:extLst>
        </xdr:cNvPr>
        <xdr:cNvGrpSpPr>
          <a:grpSpLocks noChangeAspect="1"/>
        </xdr:cNvGrpSpPr>
      </xdr:nvGrpSpPr>
      <xdr:grpSpPr>
        <a:xfrm>
          <a:off x="74295" y="53509545"/>
          <a:ext cx="306000" cy="306000"/>
          <a:chOff x="9191625" y="3009900"/>
          <a:chExt cx="324000" cy="325465"/>
        </a:xfrm>
      </xdr:grpSpPr>
      <xdr:sp macro="" textlink="">
        <xdr:nvSpPr>
          <xdr:cNvPr id="72" name="Rechteck 71">
            <a:extLst>
              <a:ext uri="{FF2B5EF4-FFF2-40B4-BE49-F238E27FC236}">
                <a16:creationId xmlns:a16="http://schemas.microsoft.com/office/drawing/2014/main" id="{00000000-0008-0000-2400-00004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3" name="Pfeil nach links 72">
            <a:extLst>
              <a:ext uri="{FF2B5EF4-FFF2-40B4-BE49-F238E27FC236}">
                <a16:creationId xmlns:a16="http://schemas.microsoft.com/office/drawing/2014/main" id="{00000000-0008-0000-2400-00004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292</xdr:row>
      <xdr:rowOff>9525</xdr:rowOff>
    </xdr:from>
    <xdr:to>
      <xdr:col>1</xdr:col>
      <xdr:colOff>372675</xdr:colOff>
      <xdr:row>293</xdr:row>
      <xdr:rowOff>10725</xdr:rowOff>
    </xdr:to>
    <xdr:grpSp>
      <xdr:nvGrpSpPr>
        <xdr:cNvPr id="74" name="Gruppieren 7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2400-00004A000000}"/>
            </a:ext>
          </a:extLst>
        </xdr:cNvPr>
        <xdr:cNvGrpSpPr>
          <a:grpSpLocks noChangeAspect="1"/>
        </xdr:cNvGrpSpPr>
      </xdr:nvGrpSpPr>
      <xdr:grpSpPr>
        <a:xfrm>
          <a:off x="74295" y="55765065"/>
          <a:ext cx="306000" cy="306000"/>
          <a:chOff x="9191625" y="3009900"/>
          <a:chExt cx="324000" cy="325465"/>
        </a:xfrm>
      </xdr:grpSpPr>
      <xdr:sp macro="" textlink="">
        <xdr:nvSpPr>
          <xdr:cNvPr id="75" name="Rechteck 74">
            <a:extLst>
              <a:ext uri="{FF2B5EF4-FFF2-40B4-BE49-F238E27FC236}">
                <a16:creationId xmlns:a16="http://schemas.microsoft.com/office/drawing/2014/main" id="{00000000-0008-0000-2400-00004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6" name="Pfeil nach links 75">
            <a:extLst>
              <a:ext uri="{FF2B5EF4-FFF2-40B4-BE49-F238E27FC236}">
                <a16:creationId xmlns:a16="http://schemas.microsoft.com/office/drawing/2014/main" id="{00000000-0008-0000-2400-00004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304</xdr:row>
      <xdr:rowOff>9525</xdr:rowOff>
    </xdr:from>
    <xdr:to>
      <xdr:col>1</xdr:col>
      <xdr:colOff>372675</xdr:colOff>
      <xdr:row>305</xdr:row>
      <xdr:rowOff>10725</xdr:rowOff>
    </xdr:to>
    <xdr:grpSp>
      <xdr:nvGrpSpPr>
        <xdr:cNvPr id="77" name="Gruppieren 76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2400-00004D000000}"/>
            </a:ext>
          </a:extLst>
        </xdr:cNvPr>
        <xdr:cNvGrpSpPr>
          <a:grpSpLocks noChangeAspect="1"/>
        </xdr:cNvGrpSpPr>
      </xdr:nvGrpSpPr>
      <xdr:grpSpPr>
        <a:xfrm>
          <a:off x="74295" y="58020585"/>
          <a:ext cx="306000" cy="306000"/>
          <a:chOff x="9191625" y="3009900"/>
          <a:chExt cx="324000" cy="325465"/>
        </a:xfrm>
      </xdr:grpSpPr>
      <xdr:sp macro="" textlink="">
        <xdr:nvSpPr>
          <xdr:cNvPr id="78" name="Rechteck 77">
            <a:extLst>
              <a:ext uri="{FF2B5EF4-FFF2-40B4-BE49-F238E27FC236}">
                <a16:creationId xmlns:a16="http://schemas.microsoft.com/office/drawing/2014/main" id="{00000000-0008-0000-2400-00004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9" name="Pfeil nach links 78">
            <a:extLst>
              <a:ext uri="{FF2B5EF4-FFF2-40B4-BE49-F238E27FC236}">
                <a16:creationId xmlns:a16="http://schemas.microsoft.com/office/drawing/2014/main" id="{00000000-0008-0000-2400-00004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316</xdr:row>
      <xdr:rowOff>9525</xdr:rowOff>
    </xdr:from>
    <xdr:to>
      <xdr:col>1</xdr:col>
      <xdr:colOff>372675</xdr:colOff>
      <xdr:row>317</xdr:row>
      <xdr:rowOff>10725</xdr:rowOff>
    </xdr:to>
    <xdr:grpSp>
      <xdr:nvGrpSpPr>
        <xdr:cNvPr id="80" name="Gruppieren 79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2400-000050000000}"/>
            </a:ext>
          </a:extLst>
        </xdr:cNvPr>
        <xdr:cNvGrpSpPr>
          <a:grpSpLocks noChangeAspect="1"/>
        </xdr:cNvGrpSpPr>
      </xdr:nvGrpSpPr>
      <xdr:grpSpPr>
        <a:xfrm>
          <a:off x="74295" y="60276105"/>
          <a:ext cx="306000" cy="306000"/>
          <a:chOff x="9191625" y="3009900"/>
          <a:chExt cx="324000" cy="325465"/>
        </a:xfrm>
      </xdr:grpSpPr>
      <xdr:sp macro="" textlink="">
        <xdr:nvSpPr>
          <xdr:cNvPr id="81" name="Rechteck 80">
            <a:extLst>
              <a:ext uri="{FF2B5EF4-FFF2-40B4-BE49-F238E27FC236}">
                <a16:creationId xmlns:a16="http://schemas.microsoft.com/office/drawing/2014/main" id="{00000000-0008-0000-2400-00005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2" name="Pfeil nach links 81">
            <a:extLst>
              <a:ext uri="{FF2B5EF4-FFF2-40B4-BE49-F238E27FC236}">
                <a16:creationId xmlns:a16="http://schemas.microsoft.com/office/drawing/2014/main" id="{00000000-0008-0000-2400-00005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328</xdr:row>
      <xdr:rowOff>9525</xdr:rowOff>
    </xdr:from>
    <xdr:to>
      <xdr:col>1</xdr:col>
      <xdr:colOff>372675</xdr:colOff>
      <xdr:row>329</xdr:row>
      <xdr:rowOff>10725</xdr:rowOff>
    </xdr:to>
    <xdr:grpSp>
      <xdr:nvGrpSpPr>
        <xdr:cNvPr id="83" name="Gruppieren 82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2400-000053000000}"/>
            </a:ext>
          </a:extLst>
        </xdr:cNvPr>
        <xdr:cNvGrpSpPr>
          <a:grpSpLocks noChangeAspect="1"/>
        </xdr:cNvGrpSpPr>
      </xdr:nvGrpSpPr>
      <xdr:grpSpPr>
        <a:xfrm>
          <a:off x="74295" y="62531625"/>
          <a:ext cx="306000" cy="306000"/>
          <a:chOff x="9191625" y="3009900"/>
          <a:chExt cx="324000" cy="325465"/>
        </a:xfrm>
      </xdr:grpSpPr>
      <xdr:sp macro="" textlink="">
        <xdr:nvSpPr>
          <xdr:cNvPr id="84" name="Rechteck 83">
            <a:extLst>
              <a:ext uri="{FF2B5EF4-FFF2-40B4-BE49-F238E27FC236}">
                <a16:creationId xmlns:a16="http://schemas.microsoft.com/office/drawing/2014/main" id="{00000000-0008-0000-2400-00005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5" name="Pfeil nach links 84">
            <a:extLst>
              <a:ext uri="{FF2B5EF4-FFF2-40B4-BE49-F238E27FC236}">
                <a16:creationId xmlns:a16="http://schemas.microsoft.com/office/drawing/2014/main" id="{00000000-0008-0000-2400-00005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340</xdr:row>
      <xdr:rowOff>9525</xdr:rowOff>
    </xdr:from>
    <xdr:to>
      <xdr:col>1</xdr:col>
      <xdr:colOff>372675</xdr:colOff>
      <xdr:row>341</xdr:row>
      <xdr:rowOff>10725</xdr:rowOff>
    </xdr:to>
    <xdr:grpSp>
      <xdr:nvGrpSpPr>
        <xdr:cNvPr id="86" name="Gruppieren 85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2400-000056000000}"/>
            </a:ext>
          </a:extLst>
        </xdr:cNvPr>
        <xdr:cNvGrpSpPr>
          <a:grpSpLocks noChangeAspect="1"/>
        </xdr:cNvGrpSpPr>
      </xdr:nvGrpSpPr>
      <xdr:grpSpPr>
        <a:xfrm>
          <a:off x="74295" y="64787145"/>
          <a:ext cx="306000" cy="306000"/>
          <a:chOff x="9191625" y="3009900"/>
          <a:chExt cx="324000" cy="325465"/>
        </a:xfrm>
      </xdr:grpSpPr>
      <xdr:sp macro="" textlink="">
        <xdr:nvSpPr>
          <xdr:cNvPr id="87" name="Rechteck 86">
            <a:extLst>
              <a:ext uri="{FF2B5EF4-FFF2-40B4-BE49-F238E27FC236}">
                <a16:creationId xmlns:a16="http://schemas.microsoft.com/office/drawing/2014/main" id="{00000000-0008-0000-2400-00005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8" name="Pfeil nach links 87">
            <a:extLst>
              <a:ext uri="{FF2B5EF4-FFF2-40B4-BE49-F238E27FC236}">
                <a16:creationId xmlns:a16="http://schemas.microsoft.com/office/drawing/2014/main" id="{00000000-0008-0000-2400-00005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352</xdr:row>
      <xdr:rowOff>9525</xdr:rowOff>
    </xdr:from>
    <xdr:to>
      <xdr:col>1</xdr:col>
      <xdr:colOff>372675</xdr:colOff>
      <xdr:row>353</xdr:row>
      <xdr:rowOff>10725</xdr:rowOff>
    </xdr:to>
    <xdr:grpSp>
      <xdr:nvGrpSpPr>
        <xdr:cNvPr id="89" name="Gruppieren 88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2400-000059000000}"/>
            </a:ext>
          </a:extLst>
        </xdr:cNvPr>
        <xdr:cNvGrpSpPr>
          <a:grpSpLocks noChangeAspect="1"/>
        </xdr:cNvGrpSpPr>
      </xdr:nvGrpSpPr>
      <xdr:grpSpPr>
        <a:xfrm>
          <a:off x="74295" y="67042665"/>
          <a:ext cx="306000" cy="306000"/>
          <a:chOff x="9191625" y="3009900"/>
          <a:chExt cx="324000" cy="325465"/>
        </a:xfrm>
      </xdr:grpSpPr>
      <xdr:sp macro="" textlink="">
        <xdr:nvSpPr>
          <xdr:cNvPr id="90" name="Rechteck 89">
            <a:extLst>
              <a:ext uri="{FF2B5EF4-FFF2-40B4-BE49-F238E27FC236}">
                <a16:creationId xmlns:a16="http://schemas.microsoft.com/office/drawing/2014/main" id="{00000000-0008-0000-2400-00005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1" name="Pfeil nach links 90">
            <a:extLst>
              <a:ext uri="{FF2B5EF4-FFF2-40B4-BE49-F238E27FC236}">
                <a16:creationId xmlns:a16="http://schemas.microsoft.com/office/drawing/2014/main" id="{00000000-0008-0000-2400-00005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364</xdr:row>
      <xdr:rowOff>9525</xdr:rowOff>
    </xdr:from>
    <xdr:to>
      <xdr:col>1</xdr:col>
      <xdr:colOff>372675</xdr:colOff>
      <xdr:row>365</xdr:row>
      <xdr:rowOff>10725</xdr:rowOff>
    </xdr:to>
    <xdr:grpSp>
      <xdr:nvGrpSpPr>
        <xdr:cNvPr id="92" name="Gruppieren 91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2400-00005C000000}"/>
            </a:ext>
          </a:extLst>
        </xdr:cNvPr>
        <xdr:cNvGrpSpPr>
          <a:grpSpLocks noChangeAspect="1"/>
        </xdr:cNvGrpSpPr>
      </xdr:nvGrpSpPr>
      <xdr:grpSpPr>
        <a:xfrm>
          <a:off x="74295" y="69298185"/>
          <a:ext cx="306000" cy="306000"/>
          <a:chOff x="9191625" y="3009900"/>
          <a:chExt cx="324000" cy="325465"/>
        </a:xfrm>
      </xdr:grpSpPr>
      <xdr:sp macro="" textlink="">
        <xdr:nvSpPr>
          <xdr:cNvPr id="93" name="Rechteck 92">
            <a:extLst>
              <a:ext uri="{FF2B5EF4-FFF2-40B4-BE49-F238E27FC236}">
                <a16:creationId xmlns:a16="http://schemas.microsoft.com/office/drawing/2014/main" id="{00000000-0008-0000-2400-00005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4" name="Pfeil nach links 93">
            <a:extLst>
              <a:ext uri="{FF2B5EF4-FFF2-40B4-BE49-F238E27FC236}">
                <a16:creationId xmlns:a16="http://schemas.microsoft.com/office/drawing/2014/main" id="{00000000-0008-0000-2400-00005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376</xdr:row>
      <xdr:rowOff>9525</xdr:rowOff>
    </xdr:from>
    <xdr:to>
      <xdr:col>1</xdr:col>
      <xdr:colOff>372675</xdr:colOff>
      <xdr:row>377</xdr:row>
      <xdr:rowOff>10725</xdr:rowOff>
    </xdr:to>
    <xdr:grpSp>
      <xdr:nvGrpSpPr>
        <xdr:cNvPr id="95" name="Gruppieren 94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2400-00005F000000}"/>
            </a:ext>
          </a:extLst>
        </xdr:cNvPr>
        <xdr:cNvGrpSpPr>
          <a:grpSpLocks noChangeAspect="1"/>
        </xdr:cNvGrpSpPr>
      </xdr:nvGrpSpPr>
      <xdr:grpSpPr>
        <a:xfrm>
          <a:off x="74295" y="71553705"/>
          <a:ext cx="306000" cy="306000"/>
          <a:chOff x="9191625" y="3009900"/>
          <a:chExt cx="324000" cy="325465"/>
        </a:xfrm>
      </xdr:grpSpPr>
      <xdr:sp macro="" textlink="">
        <xdr:nvSpPr>
          <xdr:cNvPr id="96" name="Rechteck 95">
            <a:extLst>
              <a:ext uri="{FF2B5EF4-FFF2-40B4-BE49-F238E27FC236}">
                <a16:creationId xmlns:a16="http://schemas.microsoft.com/office/drawing/2014/main" id="{00000000-0008-0000-2400-00006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7" name="Pfeil nach links 96">
            <a:extLst>
              <a:ext uri="{FF2B5EF4-FFF2-40B4-BE49-F238E27FC236}">
                <a16:creationId xmlns:a16="http://schemas.microsoft.com/office/drawing/2014/main" id="{00000000-0008-0000-2400-00006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388</xdr:row>
      <xdr:rowOff>9525</xdr:rowOff>
    </xdr:from>
    <xdr:to>
      <xdr:col>1</xdr:col>
      <xdr:colOff>372675</xdr:colOff>
      <xdr:row>389</xdr:row>
      <xdr:rowOff>10725</xdr:rowOff>
    </xdr:to>
    <xdr:grpSp>
      <xdr:nvGrpSpPr>
        <xdr:cNvPr id="98" name="Gruppieren 97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2400-000062000000}"/>
            </a:ext>
          </a:extLst>
        </xdr:cNvPr>
        <xdr:cNvGrpSpPr>
          <a:grpSpLocks noChangeAspect="1"/>
        </xdr:cNvGrpSpPr>
      </xdr:nvGrpSpPr>
      <xdr:grpSpPr>
        <a:xfrm>
          <a:off x="74295" y="73809225"/>
          <a:ext cx="306000" cy="306000"/>
          <a:chOff x="9191625" y="3009900"/>
          <a:chExt cx="324000" cy="325465"/>
        </a:xfrm>
      </xdr:grpSpPr>
      <xdr:sp macro="" textlink="">
        <xdr:nvSpPr>
          <xdr:cNvPr id="99" name="Rechteck 98">
            <a:extLst>
              <a:ext uri="{FF2B5EF4-FFF2-40B4-BE49-F238E27FC236}">
                <a16:creationId xmlns:a16="http://schemas.microsoft.com/office/drawing/2014/main" id="{00000000-0008-0000-2400-00006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0" name="Pfeil nach links 99">
            <a:extLst>
              <a:ext uri="{FF2B5EF4-FFF2-40B4-BE49-F238E27FC236}">
                <a16:creationId xmlns:a16="http://schemas.microsoft.com/office/drawing/2014/main" id="{00000000-0008-0000-2400-00006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400</xdr:row>
      <xdr:rowOff>9525</xdr:rowOff>
    </xdr:from>
    <xdr:to>
      <xdr:col>1</xdr:col>
      <xdr:colOff>372675</xdr:colOff>
      <xdr:row>401</xdr:row>
      <xdr:rowOff>10725</xdr:rowOff>
    </xdr:to>
    <xdr:grpSp>
      <xdr:nvGrpSpPr>
        <xdr:cNvPr id="101" name="Gruppieren 100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2400-000065000000}"/>
            </a:ext>
          </a:extLst>
        </xdr:cNvPr>
        <xdr:cNvGrpSpPr>
          <a:grpSpLocks noChangeAspect="1"/>
        </xdr:cNvGrpSpPr>
      </xdr:nvGrpSpPr>
      <xdr:grpSpPr>
        <a:xfrm>
          <a:off x="74295" y="76064745"/>
          <a:ext cx="306000" cy="306000"/>
          <a:chOff x="9191625" y="3009900"/>
          <a:chExt cx="324000" cy="325465"/>
        </a:xfrm>
      </xdr:grpSpPr>
      <xdr:sp macro="" textlink="">
        <xdr:nvSpPr>
          <xdr:cNvPr id="102" name="Rechteck 101">
            <a:extLst>
              <a:ext uri="{FF2B5EF4-FFF2-40B4-BE49-F238E27FC236}">
                <a16:creationId xmlns:a16="http://schemas.microsoft.com/office/drawing/2014/main" id="{00000000-0008-0000-2400-00006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3" name="Pfeil nach links 102">
            <a:extLst>
              <a:ext uri="{FF2B5EF4-FFF2-40B4-BE49-F238E27FC236}">
                <a16:creationId xmlns:a16="http://schemas.microsoft.com/office/drawing/2014/main" id="{00000000-0008-0000-2400-00006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412</xdr:row>
      <xdr:rowOff>9525</xdr:rowOff>
    </xdr:from>
    <xdr:to>
      <xdr:col>1</xdr:col>
      <xdr:colOff>372675</xdr:colOff>
      <xdr:row>413</xdr:row>
      <xdr:rowOff>10725</xdr:rowOff>
    </xdr:to>
    <xdr:grpSp>
      <xdr:nvGrpSpPr>
        <xdr:cNvPr id="104" name="Gruppieren 103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2400-000068000000}"/>
            </a:ext>
          </a:extLst>
        </xdr:cNvPr>
        <xdr:cNvGrpSpPr>
          <a:grpSpLocks noChangeAspect="1"/>
        </xdr:cNvGrpSpPr>
      </xdr:nvGrpSpPr>
      <xdr:grpSpPr>
        <a:xfrm>
          <a:off x="74295" y="78320265"/>
          <a:ext cx="306000" cy="306000"/>
          <a:chOff x="9191625" y="3009900"/>
          <a:chExt cx="324000" cy="325465"/>
        </a:xfrm>
      </xdr:grpSpPr>
      <xdr:sp macro="" textlink="">
        <xdr:nvSpPr>
          <xdr:cNvPr id="105" name="Rechteck 104">
            <a:extLst>
              <a:ext uri="{FF2B5EF4-FFF2-40B4-BE49-F238E27FC236}">
                <a16:creationId xmlns:a16="http://schemas.microsoft.com/office/drawing/2014/main" id="{00000000-0008-0000-2400-00006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6" name="Pfeil nach links 105">
            <a:extLst>
              <a:ext uri="{FF2B5EF4-FFF2-40B4-BE49-F238E27FC236}">
                <a16:creationId xmlns:a16="http://schemas.microsoft.com/office/drawing/2014/main" id="{00000000-0008-0000-2400-00006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424</xdr:row>
      <xdr:rowOff>9525</xdr:rowOff>
    </xdr:from>
    <xdr:to>
      <xdr:col>1</xdr:col>
      <xdr:colOff>372675</xdr:colOff>
      <xdr:row>425</xdr:row>
      <xdr:rowOff>10725</xdr:rowOff>
    </xdr:to>
    <xdr:grpSp>
      <xdr:nvGrpSpPr>
        <xdr:cNvPr id="107" name="Gruppieren 106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0000000-0008-0000-2400-00006B000000}"/>
            </a:ext>
          </a:extLst>
        </xdr:cNvPr>
        <xdr:cNvGrpSpPr>
          <a:grpSpLocks noChangeAspect="1"/>
        </xdr:cNvGrpSpPr>
      </xdr:nvGrpSpPr>
      <xdr:grpSpPr>
        <a:xfrm>
          <a:off x="74295" y="80575785"/>
          <a:ext cx="306000" cy="306000"/>
          <a:chOff x="9191625" y="3009900"/>
          <a:chExt cx="324000" cy="325465"/>
        </a:xfrm>
      </xdr:grpSpPr>
      <xdr:sp macro="" textlink="">
        <xdr:nvSpPr>
          <xdr:cNvPr id="108" name="Rechteck 107">
            <a:extLst>
              <a:ext uri="{FF2B5EF4-FFF2-40B4-BE49-F238E27FC236}">
                <a16:creationId xmlns:a16="http://schemas.microsoft.com/office/drawing/2014/main" id="{00000000-0008-0000-2400-00006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9" name="Pfeil nach links 108">
            <a:extLst>
              <a:ext uri="{FF2B5EF4-FFF2-40B4-BE49-F238E27FC236}">
                <a16:creationId xmlns:a16="http://schemas.microsoft.com/office/drawing/2014/main" id="{00000000-0008-0000-2400-00006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436</xdr:row>
      <xdr:rowOff>9525</xdr:rowOff>
    </xdr:from>
    <xdr:to>
      <xdr:col>1</xdr:col>
      <xdr:colOff>372675</xdr:colOff>
      <xdr:row>437</xdr:row>
      <xdr:rowOff>10725</xdr:rowOff>
    </xdr:to>
    <xdr:grpSp>
      <xdr:nvGrpSpPr>
        <xdr:cNvPr id="110" name="Gruppieren 109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2400-00006E000000}"/>
            </a:ext>
          </a:extLst>
        </xdr:cNvPr>
        <xdr:cNvGrpSpPr>
          <a:grpSpLocks noChangeAspect="1"/>
        </xdr:cNvGrpSpPr>
      </xdr:nvGrpSpPr>
      <xdr:grpSpPr>
        <a:xfrm>
          <a:off x="74295" y="82831305"/>
          <a:ext cx="306000" cy="306000"/>
          <a:chOff x="9191625" y="3009900"/>
          <a:chExt cx="324000" cy="325465"/>
        </a:xfrm>
      </xdr:grpSpPr>
      <xdr:sp macro="" textlink="">
        <xdr:nvSpPr>
          <xdr:cNvPr id="111" name="Rechteck 110">
            <a:extLst>
              <a:ext uri="{FF2B5EF4-FFF2-40B4-BE49-F238E27FC236}">
                <a16:creationId xmlns:a16="http://schemas.microsoft.com/office/drawing/2014/main" id="{00000000-0008-0000-2400-00006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2" name="Pfeil nach links 111">
            <a:extLst>
              <a:ext uri="{FF2B5EF4-FFF2-40B4-BE49-F238E27FC236}">
                <a16:creationId xmlns:a16="http://schemas.microsoft.com/office/drawing/2014/main" id="{00000000-0008-0000-2400-00007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448</xdr:row>
      <xdr:rowOff>9525</xdr:rowOff>
    </xdr:from>
    <xdr:to>
      <xdr:col>1</xdr:col>
      <xdr:colOff>372675</xdr:colOff>
      <xdr:row>449</xdr:row>
      <xdr:rowOff>10725</xdr:rowOff>
    </xdr:to>
    <xdr:grpSp>
      <xdr:nvGrpSpPr>
        <xdr:cNvPr id="113" name="Gruppieren 112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2400-000071000000}"/>
            </a:ext>
          </a:extLst>
        </xdr:cNvPr>
        <xdr:cNvGrpSpPr>
          <a:grpSpLocks noChangeAspect="1"/>
        </xdr:cNvGrpSpPr>
      </xdr:nvGrpSpPr>
      <xdr:grpSpPr>
        <a:xfrm>
          <a:off x="74295" y="85086825"/>
          <a:ext cx="306000" cy="306000"/>
          <a:chOff x="9191625" y="3009900"/>
          <a:chExt cx="324000" cy="325465"/>
        </a:xfrm>
      </xdr:grpSpPr>
      <xdr:sp macro="" textlink="">
        <xdr:nvSpPr>
          <xdr:cNvPr id="114" name="Rechteck 113">
            <a:extLst>
              <a:ext uri="{FF2B5EF4-FFF2-40B4-BE49-F238E27FC236}">
                <a16:creationId xmlns:a16="http://schemas.microsoft.com/office/drawing/2014/main" id="{00000000-0008-0000-2400-00007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5" name="Pfeil nach links 114">
            <a:extLst>
              <a:ext uri="{FF2B5EF4-FFF2-40B4-BE49-F238E27FC236}">
                <a16:creationId xmlns:a16="http://schemas.microsoft.com/office/drawing/2014/main" id="{00000000-0008-0000-2400-00007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460</xdr:row>
      <xdr:rowOff>9525</xdr:rowOff>
    </xdr:from>
    <xdr:to>
      <xdr:col>1</xdr:col>
      <xdr:colOff>372675</xdr:colOff>
      <xdr:row>461</xdr:row>
      <xdr:rowOff>10725</xdr:rowOff>
    </xdr:to>
    <xdr:grpSp>
      <xdr:nvGrpSpPr>
        <xdr:cNvPr id="116" name="Gruppieren 115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2400-000074000000}"/>
            </a:ext>
          </a:extLst>
        </xdr:cNvPr>
        <xdr:cNvGrpSpPr>
          <a:grpSpLocks noChangeAspect="1"/>
        </xdr:cNvGrpSpPr>
      </xdr:nvGrpSpPr>
      <xdr:grpSpPr>
        <a:xfrm>
          <a:off x="74295" y="87342345"/>
          <a:ext cx="306000" cy="306000"/>
          <a:chOff x="9191625" y="3009900"/>
          <a:chExt cx="324000" cy="325465"/>
        </a:xfrm>
      </xdr:grpSpPr>
      <xdr:sp macro="" textlink="">
        <xdr:nvSpPr>
          <xdr:cNvPr id="117" name="Rechteck 116">
            <a:extLst>
              <a:ext uri="{FF2B5EF4-FFF2-40B4-BE49-F238E27FC236}">
                <a16:creationId xmlns:a16="http://schemas.microsoft.com/office/drawing/2014/main" id="{00000000-0008-0000-2400-00007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8" name="Pfeil nach links 117">
            <a:extLst>
              <a:ext uri="{FF2B5EF4-FFF2-40B4-BE49-F238E27FC236}">
                <a16:creationId xmlns:a16="http://schemas.microsoft.com/office/drawing/2014/main" id="{00000000-0008-0000-2400-00007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472</xdr:row>
      <xdr:rowOff>9525</xdr:rowOff>
    </xdr:from>
    <xdr:to>
      <xdr:col>1</xdr:col>
      <xdr:colOff>372675</xdr:colOff>
      <xdr:row>473</xdr:row>
      <xdr:rowOff>10725</xdr:rowOff>
    </xdr:to>
    <xdr:grpSp>
      <xdr:nvGrpSpPr>
        <xdr:cNvPr id="119" name="Gruppieren 118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00000000-0008-0000-2400-000077000000}"/>
            </a:ext>
          </a:extLst>
        </xdr:cNvPr>
        <xdr:cNvGrpSpPr>
          <a:grpSpLocks noChangeAspect="1"/>
        </xdr:cNvGrpSpPr>
      </xdr:nvGrpSpPr>
      <xdr:grpSpPr>
        <a:xfrm>
          <a:off x="74295" y="89597865"/>
          <a:ext cx="306000" cy="306000"/>
          <a:chOff x="9191625" y="3009900"/>
          <a:chExt cx="324000" cy="325465"/>
        </a:xfrm>
      </xdr:grpSpPr>
      <xdr:sp macro="" textlink="">
        <xdr:nvSpPr>
          <xdr:cNvPr id="120" name="Rechteck 119">
            <a:extLst>
              <a:ext uri="{FF2B5EF4-FFF2-40B4-BE49-F238E27FC236}">
                <a16:creationId xmlns:a16="http://schemas.microsoft.com/office/drawing/2014/main" id="{00000000-0008-0000-2400-00007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1" name="Pfeil nach links 120">
            <a:extLst>
              <a:ext uri="{FF2B5EF4-FFF2-40B4-BE49-F238E27FC236}">
                <a16:creationId xmlns:a16="http://schemas.microsoft.com/office/drawing/2014/main" id="{00000000-0008-0000-2400-00007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496</xdr:row>
      <xdr:rowOff>9525</xdr:rowOff>
    </xdr:from>
    <xdr:to>
      <xdr:col>1</xdr:col>
      <xdr:colOff>372675</xdr:colOff>
      <xdr:row>497</xdr:row>
      <xdr:rowOff>10725</xdr:rowOff>
    </xdr:to>
    <xdr:grpSp>
      <xdr:nvGrpSpPr>
        <xdr:cNvPr id="122" name="Gruppieren 121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2400-00007A000000}"/>
            </a:ext>
          </a:extLst>
        </xdr:cNvPr>
        <xdr:cNvGrpSpPr>
          <a:grpSpLocks noChangeAspect="1"/>
        </xdr:cNvGrpSpPr>
      </xdr:nvGrpSpPr>
      <xdr:grpSpPr>
        <a:xfrm>
          <a:off x="74295" y="94108905"/>
          <a:ext cx="306000" cy="306000"/>
          <a:chOff x="9191625" y="3009900"/>
          <a:chExt cx="324000" cy="325465"/>
        </a:xfrm>
      </xdr:grpSpPr>
      <xdr:sp macro="" textlink="">
        <xdr:nvSpPr>
          <xdr:cNvPr id="123" name="Rechteck 122">
            <a:extLst>
              <a:ext uri="{FF2B5EF4-FFF2-40B4-BE49-F238E27FC236}">
                <a16:creationId xmlns:a16="http://schemas.microsoft.com/office/drawing/2014/main" id="{00000000-0008-0000-2400-00007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4" name="Pfeil nach links 123">
            <a:extLst>
              <a:ext uri="{FF2B5EF4-FFF2-40B4-BE49-F238E27FC236}">
                <a16:creationId xmlns:a16="http://schemas.microsoft.com/office/drawing/2014/main" id="{00000000-0008-0000-2400-00007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508</xdr:row>
      <xdr:rowOff>9525</xdr:rowOff>
    </xdr:from>
    <xdr:to>
      <xdr:col>1</xdr:col>
      <xdr:colOff>372675</xdr:colOff>
      <xdr:row>509</xdr:row>
      <xdr:rowOff>10725</xdr:rowOff>
    </xdr:to>
    <xdr:grpSp>
      <xdr:nvGrpSpPr>
        <xdr:cNvPr id="125" name="Gruppieren 124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00000000-0008-0000-2400-00007D000000}"/>
            </a:ext>
          </a:extLst>
        </xdr:cNvPr>
        <xdr:cNvGrpSpPr>
          <a:grpSpLocks noChangeAspect="1"/>
        </xdr:cNvGrpSpPr>
      </xdr:nvGrpSpPr>
      <xdr:grpSpPr>
        <a:xfrm>
          <a:off x="74295" y="96364425"/>
          <a:ext cx="306000" cy="306000"/>
          <a:chOff x="9191625" y="3009900"/>
          <a:chExt cx="324000" cy="325465"/>
        </a:xfrm>
      </xdr:grpSpPr>
      <xdr:sp macro="" textlink="">
        <xdr:nvSpPr>
          <xdr:cNvPr id="126" name="Rechteck 125">
            <a:extLst>
              <a:ext uri="{FF2B5EF4-FFF2-40B4-BE49-F238E27FC236}">
                <a16:creationId xmlns:a16="http://schemas.microsoft.com/office/drawing/2014/main" id="{00000000-0008-0000-2400-00007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7" name="Pfeil nach links 126">
            <a:extLst>
              <a:ext uri="{FF2B5EF4-FFF2-40B4-BE49-F238E27FC236}">
                <a16:creationId xmlns:a16="http://schemas.microsoft.com/office/drawing/2014/main" id="{00000000-0008-0000-2400-00007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520</xdr:row>
      <xdr:rowOff>9525</xdr:rowOff>
    </xdr:from>
    <xdr:to>
      <xdr:col>1</xdr:col>
      <xdr:colOff>372675</xdr:colOff>
      <xdr:row>521</xdr:row>
      <xdr:rowOff>10725</xdr:rowOff>
    </xdr:to>
    <xdr:grpSp>
      <xdr:nvGrpSpPr>
        <xdr:cNvPr id="128" name="Gruppieren 127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00000000-0008-0000-2400-000080000000}"/>
            </a:ext>
          </a:extLst>
        </xdr:cNvPr>
        <xdr:cNvGrpSpPr>
          <a:grpSpLocks noChangeAspect="1"/>
        </xdr:cNvGrpSpPr>
      </xdr:nvGrpSpPr>
      <xdr:grpSpPr>
        <a:xfrm>
          <a:off x="74295" y="98619945"/>
          <a:ext cx="306000" cy="306000"/>
          <a:chOff x="9191625" y="3009900"/>
          <a:chExt cx="324000" cy="325465"/>
        </a:xfrm>
      </xdr:grpSpPr>
      <xdr:sp macro="" textlink="">
        <xdr:nvSpPr>
          <xdr:cNvPr id="129" name="Rechteck 128">
            <a:extLst>
              <a:ext uri="{FF2B5EF4-FFF2-40B4-BE49-F238E27FC236}">
                <a16:creationId xmlns:a16="http://schemas.microsoft.com/office/drawing/2014/main" id="{00000000-0008-0000-2400-00008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0" name="Pfeil nach links 129">
            <a:extLst>
              <a:ext uri="{FF2B5EF4-FFF2-40B4-BE49-F238E27FC236}">
                <a16:creationId xmlns:a16="http://schemas.microsoft.com/office/drawing/2014/main" id="{00000000-0008-0000-2400-00008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532</xdr:row>
      <xdr:rowOff>9525</xdr:rowOff>
    </xdr:from>
    <xdr:to>
      <xdr:col>1</xdr:col>
      <xdr:colOff>372675</xdr:colOff>
      <xdr:row>533</xdr:row>
      <xdr:rowOff>10725</xdr:rowOff>
    </xdr:to>
    <xdr:grpSp>
      <xdr:nvGrpSpPr>
        <xdr:cNvPr id="131" name="Gruppieren 130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00000000-0008-0000-2400-000083000000}"/>
            </a:ext>
          </a:extLst>
        </xdr:cNvPr>
        <xdr:cNvGrpSpPr>
          <a:grpSpLocks noChangeAspect="1"/>
        </xdr:cNvGrpSpPr>
      </xdr:nvGrpSpPr>
      <xdr:grpSpPr>
        <a:xfrm>
          <a:off x="74295" y="100875465"/>
          <a:ext cx="306000" cy="306000"/>
          <a:chOff x="9191625" y="3009900"/>
          <a:chExt cx="324000" cy="325465"/>
        </a:xfrm>
      </xdr:grpSpPr>
      <xdr:sp macro="" textlink="">
        <xdr:nvSpPr>
          <xdr:cNvPr id="132" name="Rechteck 131">
            <a:extLst>
              <a:ext uri="{FF2B5EF4-FFF2-40B4-BE49-F238E27FC236}">
                <a16:creationId xmlns:a16="http://schemas.microsoft.com/office/drawing/2014/main" id="{00000000-0008-0000-2400-00008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3" name="Pfeil nach links 132">
            <a:extLst>
              <a:ext uri="{FF2B5EF4-FFF2-40B4-BE49-F238E27FC236}">
                <a16:creationId xmlns:a16="http://schemas.microsoft.com/office/drawing/2014/main" id="{00000000-0008-0000-2400-00008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544</xdr:row>
      <xdr:rowOff>9525</xdr:rowOff>
    </xdr:from>
    <xdr:to>
      <xdr:col>1</xdr:col>
      <xdr:colOff>372675</xdr:colOff>
      <xdr:row>545</xdr:row>
      <xdr:rowOff>10725</xdr:rowOff>
    </xdr:to>
    <xdr:grpSp>
      <xdr:nvGrpSpPr>
        <xdr:cNvPr id="134" name="Gruppieren 133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00000000-0008-0000-2400-000086000000}"/>
            </a:ext>
          </a:extLst>
        </xdr:cNvPr>
        <xdr:cNvGrpSpPr>
          <a:grpSpLocks noChangeAspect="1"/>
        </xdr:cNvGrpSpPr>
      </xdr:nvGrpSpPr>
      <xdr:grpSpPr>
        <a:xfrm>
          <a:off x="74295" y="103130985"/>
          <a:ext cx="306000" cy="306000"/>
          <a:chOff x="9191625" y="3009900"/>
          <a:chExt cx="324000" cy="325465"/>
        </a:xfrm>
      </xdr:grpSpPr>
      <xdr:sp macro="" textlink="">
        <xdr:nvSpPr>
          <xdr:cNvPr id="135" name="Rechteck 134">
            <a:extLst>
              <a:ext uri="{FF2B5EF4-FFF2-40B4-BE49-F238E27FC236}">
                <a16:creationId xmlns:a16="http://schemas.microsoft.com/office/drawing/2014/main" id="{00000000-0008-0000-2400-00008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6" name="Pfeil nach links 135">
            <a:extLst>
              <a:ext uri="{FF2B5EF4-FFF2-40B4-BE49-F238E27FC236}">
                <a16:creationId xmlns:a16="http://schemas.microsoft.com/office/drawing/2014/main" id="{00000000-0008-0000-2400-00008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556</xdr:row>
      <xdr:rowOff>9525</xdr:rowOff>
    </xdr:from>
    <xdr:to>
      <xdr:col>1</xdr:col>
      <xdr:colOff>372675</xdr:colOff>
      <xdr:row>557</xdr:row>
      <xdr:rowOff>10725</xdr:rowOff>
    </xdr:to>
    <xdr:grpSp>
      <xdr:nvGrpSpPr>
        <xdr:cNvPr id="137" name="Gruppieren 136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00000000-0008-0000-2400-000089000000}"/>
            </a:ext>
          </a:extLst>
        </xdr:cNvPr>
        <xdr:cNvGrpSpPr>
          <a:grpSpLocks noChangeAspect="1"/>
        </xdr:cNvGrpSpPr>
      </xdr:nvGrpSpPr>
      <xdr:grpSpPr>
        <a:xfrm>
          <a:off x="74295" y="105386505"/>
          <a:ext cx="306000" cy="306000"/>
          <a:chOff x="9191625" y="3009900"/>
          <a:chExt cx="324000" cy="325465"/>
        </a:xfrm>
      </xdr:grpSpPr>
      <xdr:sp macro="" textlink="">
        <xdr:nvSpPr>
          <xdr:cNvPr id="138" name="Rechteck 137">
            <a:extLst>
              <a:ext uri="{FF2B5EF4-FFF2-40B4-BE49-F238E27FC236}">
                <a16:creationId xmlns:a16="http://schemas.microsoft.com/office/drawing/2014/main" id="{00000000-0008-0000-2400-00008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9" name="Pfeil nach links 138">
            <a:extLst>
              <a:ext uri="{FF2B5EF4-FFF2-40B4-BE49-F238E27FC236}">
                <a16:creationId xmlns:a16="http://schemas.microsoft.com/office/drawing/2014/main" id="{00000000-0008-0000-2400-00008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568</xdr:row>
      <xdr:rowOff>9525</xdr:rowOff>
    </xdr:from>
    <xdr:to>
      <xdr:col>1</xdr:col>
      <xdr:colOff>372675</xdr:colOff>
      <xdr:row>569</xdr:row>
      <xdr:rowOff>10725</xdr:rowOff>
    </xdr:to>
    <xdr:grpSp>
      <xdr:nvGrpSpPr>
        <xdr:cNvPr id="140" name="Gruppieren 139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00000000-0008-0000-2400-00008C000000}"/>
            </a:ext>
          </a:extLst>
        </xdr:cNvPr>
        <xdr:cNvGrpSpPr>
          <a:grpSpLocks noChangeAspect="1"/>
        </xdr:cNvGrpSpPr>
      </xdr:nvGrpSpPr>
      <xdr:grpSpPr>
        <a:xfrm>
          <a:off x="74295" y="107642025"/>
          <a:ext cx="306000" cy="306000"/>
          <a:chOff x="9191625" y="3009900"/>
          <a:chExt cx="324000" cy="325465"/>
        </a:xfrm>
      </xdr:grpSpPr>
      <xdr:sp macro="" textlink="">
        <xdr:nvSpPr>
          <xdr:cNvPr id="141" name="Rechteck 140">
            <a:extLst>
              <a:ext uri="{FF2B5EF4-FFF2-40B4-BE49-F238E27FC236}">
                <a16:creationId xmlns:a16="http://schemas.microsoft.com/office/drawing/2014/main" id="{00000000-0008-0000-2400-00008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2" name="Pfeil nach links 141">
            <a:extLst>
              <a:ext uri="{FF2B5EF4-FFF2-40B4-BE49-F238E27FC236}">
                <a16:creationId xmlns:a16="http://schemas.microsoft.com/office/drawing/2014/main" id="{00000000-0008-0000-2400-00008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580</xdr:row>
      <xdr:rowOff>9525</xdr:rowOff>
    </xdr:from>
    <xdr:to>
      <xdr:col>1</xdr:col>
      <xdr:colOff>372675</xdr:colOff>
      <xdr:row>581</xdr:row>
      <xdr:rowOff>10725</xdr:rowOff>
    </xdr:to>
    <xdr:grpSp>
      <xdr:nvGrpSpPr>
        <xdr:cNvPr id="143" name="Gruppieren 142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00000000-0008-0000-2400-00008F000000}"/>
            </a:ext>
          </a:extLst>
        </xdr:cNvPr>
        <xdr:cNvGrpSpPr>
          <a:grpSpLocks noChangeAspect="1"/>
        </xdr:cNvGrpSpPr>
      </xdr:nvGrpSpPr>
      <xdr:grpSpPr>
        <a:xfrm>
          <a:off x="74295" y="109897545"/>
          <a:ext cx="306000" cy="306000"/>
          <a:chOff x="9191625" y="3009900"/>
          <a:chExt cx="324000" cy="325465"/>
        </a:xfrm>
      </xdr:grpSpPr>
      <xdr:sp macro="" textlink="">
        <xdr:nvSpPr>
          <xdr:cNvPr id="144" name="Rechteck 143">
            <a:extLst>
              <a:ext uri="{FF2B5EF4-FFF2-40B4-BE49-F238E27FC236}">
                <a16:creationId xmlns:a16="http://schemas.microsoft.com/office/drawing/2014/main" id="{00000000-0008-0000-2400-00009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5" name="Pfeil nach links 144">
            <a:extLst>
              <a:ext uri="{FF2B5EF4-FFF2-40B4-BE49-F238E27FC236}">
                <a16:creationId xmlns:a16="http://schemas.microsoft.com/office/drawing/2014/main" id="{00000000-0008-0000-2400-00009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592</xdr:row>
      <xdr:rowOff>9525</xdr:rowOff>
    </xdr:from>
    <xdr:to>
      <xdr:col>1</xdr:col>
      <xdr:colOff>372675</xdr:colOff>
      <xdr:row>593</xdr:row>
      <xdr:rowOff>10725</xdr:rowOff>
    </xdr:to>
    <xdr:grpSp>
      <xdr:nvGrpSpPr>
        <xdr:cNvPr id="146" name="Gruppieren 145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00000000-0008-0000-2400-000092000000}"/>
            </a:ext>
          </a:extLst>
        </xdr:cNvPr>
        <xdr:cNvGrpSpPr>
          <a:grpSpLocks noChangeAspect="1"/>
        </xdr:cNvGrpSpPr>
      </xdr:nvGrpSpPr>
      <xdr:grpSpPr>
        <a:xfrm>
          <a:off x="74295" y="112153065"/>
          <a:ext cx="306000" cy="306000"/>
          <a:chOff x="9191625" y="3009900"/>
          <a:chExt cx="324000" cy="325465"/>
        </a:xfrm>
      </xdr:grpSpPr>
      <xdr:sp macro="" textlink="">
        <xdr:nvSpPr>
          <xdr:cNvPr id="147" name="Rechteck 146">
            <a:extLst>
              <a:ext uri="{FF2B5EF4-FFF2-40B4-BE49-F238E27FC236}">
                <a16:creationId xmlns:a16="http://schemas.microsoft.com/office/drawing/2014/main" id="{00000000-0008-0000-2400-00009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8" name="Pfeil nach links 147">
            <a:extLst>
              <a:ext uri="{FF2B5EF4-FFF2-40B4-BE49-F238E27FC236}">
                <a16:creationId xmlns:a16="http://schemas.microsoft.com/office/drawing/2014/main" id="{00000000-0008-0000-2400-00009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604</xdr:row>
      <xdr:rowOff>9525</xdr:rowOff>
    </xdr:from>
    <xdr:to>
      <xdr:col>1</xdr:col>
      <xdr:colOff>372675</xdr:colOff>
      <xdr:row>605</xdr:row>
      <xdr:rowOff>10725</xdr:rowOff>
    </xdr:to>
    <xdr:grpSp>
      <xdr:nvGrpSpPr>
        <xdr:cNvPr id="149" name="Gruppieren 148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00000000-0008-0000-2400-000095000000}"/>
            </a:ext>
          </a:extLst>
        </xdr:cNvPr>
        <xdr:cNvGrpSpPr>
          <a:grpSpLocks noChangeAspect="1"/>
        </xdr:cNvGrpSpPr>
      </xdr:nvGrpSpPr>
      <xdr:grpSpPr>
        <a:xfrm>
          <a:off x="74295" y="114408585"/>
          <a:ext cx="306000" cy="306000"/>
          <a:chOff x="9191625" y="3009900"/>
          <a:chExt cx="324000" cy="325465"/>
        </a:xfrm>
      </xdr:grpSpPr>
      <xdr:sp macro="" textlink="">
        <xdr:nvSpPr>
          <xdr:cNvPr id="150" name="Rechteck 149">
            <a:extLst>
              <a:ext uri="{FF2B5EF4-FFF2-40B4-BE49-F238E27FC236}">
                <a16:creationId xmlns:a16="http://schemas.microsoft.com/office/drawing/2014/main" id="{00000000-0008-0000-2400-00009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1" name="Pfeil nach links 150">
            <a:extLst>
              <a:ext uri="{FF2B5EF4-FFF2-40B4-BE49-F238E27FC236}">
                <a16:creationId xmlns:a16="http://schemas.microsoft.com/office/drawing/2014/main" id="{00000000-0008-0000-2400-00009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616</xdr:row>
      <xdr:rowOff>9525</xdr:rowOff>
    </xdr:from>
    <xdr:to>
      <xdr:col>1</xdr:col>
      <xdr:colOff>372675</xdr:colOff>
      <xdr:row>617</xdr:row>
      <xdr:rowOff>10725</xdr:rowOff>
    </xdr:to>
    <xdr:grpSp>
      <xdr:nvGrpSpPr>
        <xdr:cNvPr id="152" name="Gruppieren 151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00000000-0008-0000-2400-000098000000}"/>
            </a:ext>
          </a:extLst>
        </xdr:cNvPr>
        <xdr:cNvGrpSpPr>
          <a:grpSpLocks noChangeAspect="1"/>
        </xdr:cNvGrpSpPr>
      </xdr:nvGrpSpPr>
      <xdr:grpSpPr>
        <a:xfrm>
          <a:off x="74295" y="116664105"/>
          <a:ext cx="306000" cy="306000"/>
          <a:chOff x="9191625" y="3009900"/>
          <a:chExt cx="324000" cy="325465"/>
        </a:xfrm>
      </xdr:grpSpPr>
      <xdr:sp macro="" textlink="">
        <xdr:nvSpPr>
          <xdr:cNvPr id="153" name="Rechteck 152">
            <a:extLst>
              <a:ext uri="{FF2B5EF4-FFF2-40B4-BE49-F238E27FC236}">
                <a16:creationId xmlns:a16="http://schemas.microsoft.com/office/drawing/2014/main" id="{00000000-0008-0000-2400-00009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4" name="Pfeil nach links 153">
            <a:extLst>
              <a:ext uri="{FF2B5EF4-FFF2-40B4-BE49-F238E27FC236}">
                <a16:creationId xmlns:a16="http://schemas.microsoft.com/office/drawing/2014/main" id="{00000000-0008-0000-2400-00009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628</xdr:row>
      <xdr:rowOff>9525</xdr:rowOff>
    </xdr:from>
    <xdr:to>
      <xdr:col>1</xdr:col>
      <xdr:colOff>372675</xdr:colOff>
      <xdr:row>629</xdr:row>
      <xdr:rowOff>10725</xdr:rowOff>
    </xdr:to>
    <xdr:grpSp>
      <xdr:nvGrpSpPr>
        <xdr:cNvPr id="155" name="Gruppieren 154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00000000-0008-0000-2400-00009B000000}"/>
            </a:ext>
          </a:extLst>
        </xdr:cNvPr>
        <xdr:cNvGrpSpPr>
          <a:grpSpLocks noChangeAspect="1"/>
        </xdr:cNvGrpSpPr>
      </xdr:nvGrpSpPr>
      <xdr:grpSpPr>
        <a:xfrm>
          <a:off x="74295" y="118919625"/>
          <a:ext cx="306000" cy="306000"/>
          <a:chOff x="9191625" y="3009900"/>
          <a:chExt cx="324000" cy="325465"/>
        </a:xfrm>
      </xdr:grpSpPr>
      <xdr:sp macro="" textlink="">
        <xdr:nvSpPr>
          <xdr:cNvPr id="156" name="Rechteck 155">
            <a:extLst>
              <a:ext uri="{FF2B5EF4-FFF2-40B4-BE49-F238E27FC236}">
                <a16:creationId xmlns:a16="http://schemas.microsoft.com/office/drawing/2014/main" id="{00000000-0008-0000-2400-00009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7" name="Pfeil nach links 156">
            <a:extLst>
              <a:ext uri="{FF2B5EF4-FFF2-40B4-BE49-F238E27FC236}">
                <a16:creationId xmlns:a16="http://schemas.microsoft.com/office/drawing/2014/main" id="{00000000-0008-0000-2400-00009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640</xdr:row>
      <xdr:rowOff>9525</xdr:rowOff>
    </xdr:from>
    <xdr:to>
      <xdr:col>1</xdr:col>
      <xdr:colOff>372675</xdr:colOff>
      <xdr:row>641</xdr:row>
      <xdr:rowOff>10725</xdr:rowOff>
    </xdr:to>
    <xdr:grpSp>
      <xdr:nvGrpSpPr>
        <xdr:cNvPr id="158" name="Gruppieren 157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00000000-0008-0000-2400-00009E000000}"/>
            </a:ext>
          </a:extLst>
        </xdr:cNvPr>
        <xdr:cNvGrpSpPr>
          <a:grpSpLocks noChangeAspect="1"/>
        </xdr:cNvGrpSpPr>
      </xdr:nvGrpSpPr>
      <xdr:grpSpPr>
        <a:xfrm>
          <a:off x="74295" y="121175145"/>
          <a:ext cx="306000" cy="306000"/>
          <a:chOff x="9191625" y="3009900"/>
          <a:chExt cx="324000" cy="325465"/>
        </a:xfrm>
      </xdr:grpSpPr>
      <xdr:sp macro="" textlink="">
        <xdr:nvSpPr>
          <xdr:cNvPr id="159" name="Rechteck 158">
            <a:extLst>
              <a:ext uri="{FF2B5EF4-FFF2-40B4-BE49-F238E27FC236}">
                <a16:creationId xmlns:a16="http://schemas.microsoft.com/office/drawing/2014/main" id="{00000000-0008-0000-2400-00009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0" name="Pfeil nach links 159">
            <a:extLst>
              <a:ext uri="{FF2B5EF4-FFF2-40B4-BE49-F238E27FC236}">
                <a16:creationId xmlns:a16="http://schemas.microsoft.com/office/drawing/2014/main" id="{00000000-0008-0000-2400-0000A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652</xdr:row>
      <xdr:rowOff>9525</xdr:rowOff>
    </xdr:from>
    <xdr:to>
      <xdr:col>1</xdr:col>
      <xdr:colOff>372675</xdr:colOff>
      <xdr:row>653</xdr:row>
      <xdr:rowOff>10725</xdr:rowOff>
    </xdr:to>
    <xdr:grpSp>
      <xdr:nvGrpSpPr>
        <xdr:cNvPr id="161" name="Gruppieren 160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id="{00000000-0008-0000-2400-0000A1000000}"/>
            </a:ext>
          </a:extLst>
        </xdr:cNvPr>
        <xdr:cNvGrpSpPr>
          <a:grpSpLocks noChangeAspect="1"/>
        </xdr:cNvGrpSpPr>
      </xdr:nvGrpSpPr>
      <xdr:grpSpPr>
        <a:xfrm>
          <a:off x="74295" y="123430665"/>
          <a:ext cx="306000" cy="306000"/>
          <a:chOff x="9191625" y="3009900"/>
          <a:chExt cx="324000" cy="325465"/>
        </a:xfrm>
      </xdr:grpSpPr>
      <xdr:sp macro="" textlink="">
        <xdr:nvSpPr>
          <xdr:cNvPr id="162" name="Rechteck 161">
            <a:extLst>
              <a:ext uri="{FF2B5EF4-FFF2-40B4-BE49-F238E27FC236}">
                <a16:creationId xmlns:a16="http://schemas.microsoft.com/office/drawing/2014/main" id="{00000000-0008-0000-2400-0000A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3" name="Pfeil nach links 162">
            <a:extLst>
              <a:ext uri="{FF2B5EF4-FFF2-40B4-BE49-F238E27FC236}">
                <a16:creationId xmlns:a16="http://schemas.microsoft.com/office/drawing/2014/main" id="{00000000-0008-0000-2400-0000A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664</xdr:row>
      <xdr:rowOff>9525</xdr:rowOff>
    </xdr:from>
    <xdr:to>
      <xdr:col>1</xdr:col>
      <xdr:colOff>372675</xdr:colOff>
      <xdr:row>665</xdr:row>
      <xdr:rowOff>10725</xdr:rowOff>
    </xdr:to>
    <xdr:grpSp>
      <xdr:nvGrpSpPr>
        <xdr:cNvPr id="164" name="Gruppieren 163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00000000-0008-0000-2400-0000A4000000}"/>
            </a:ext>
          </a:extLst>
        </xdr:cNvPr>
        <xdr:cNvGrpSpPr>
          <a:grpSpLocks noChangeAspect="1"/>
        </xdr:cNvGrpSpPr>
      </xdr:nvGrpSpPr>
      <xdr:grpSpPr>
        <a:xfrm>
          <a:off x="74295" y="125686185"/>
          <a:ext cx="306000" cy="306000"/>
          <a:chOff x="9191625" y="3009900"/>
          <a:chExt cx="324000" cy="325465"/>
        </a:xfrm>
      </xdr:grpSpPr>
      <xdr:sp macro="" textlink="">
        <xdr:nvSpPr>
          <xdr:cNvPr id="165" name="Rechteck 164">
            <a:extLst>
              <a:ext uri="{FF2B5EF4-FFF2-40B4-BE49-F238E27FC236}">
                <a16:creationId xmlns:a16="http://schemas.microsoft.com/office/drawing/2014/main" id="{00000000-0008-0000-2400-0000A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6" name="Pfeil nach links 165">
            <a:extLst>
              <a:ext uri="{FF2B5EF4-FFF2-40B4-BE49-F238E27FC236}">
                <a16:creationId xmlns:a16="http://schemas.microsoft.com/office/drawing/2014/main" id="{00000000-0008-0000-2400-0000A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676</xdr:row>
      <xdr:rowOff>9525</xdr:rowOff>
    </xdr:from>
    <xdr:to>
      <xdr:col>1</xdr:col>
      <xdr:colOff>372675</xdr:colOff>
      <xdr:row>677</xdr:row>
      <xdr:rowOff>10725</xdr:rowOff>
    </xdr:to>
    <xdr:grpSp>
      <xdr:nvGrpSpPr>
        <xdr:cNvPr id="167" name="Gruppieren 166">
          <a:hlinkClick xmlns:r="http://schemas.openxmlformats.org/officeDocument/2006/relationships" r:id="rId56"/>
          <a:extLst>
            <a:ext uri="{FF2B5EF4-FFF2-40B4-BE49-F238E27FC236}">
              <a16:creationId xmlns:a16="http://schemas.microsoft.com/office/drawing/2014/main" id="{00000000-0008-0000-2400-0000A7000000}"/>
            </a:ext>
          </a:extLst>
        </xdr:cNvPr>
        <xdr:cNvGrpSpPr>
          <a:grpSpLocks noChangeAspect="1"/>
        </xdr:cNvGrpSpPr>
      </xdr:nvGrpSpPr>
      <xdr:grpSpPr>
        <a:xfrm>
          <a:off x="74295" y="127941705"/>
          <a:ext cx="306000" cy="306000"/>
          <a:chOff x="9191625" y="3009900"/>
          <a:chExt cx="324000" cy="325465"/>
        </a:xfrm>
      </xdr:grpSpPr>
      <xdr:sp macro="" textlink="">
        <xdr:nvSpPr>
          <xdr:cNvPr id="168" name="Rechteck 167">
            <a:extLst>
              <a:ext uri="{FF2B5EF4-FFF2-40B4-BE49-F238E27FC236}">
                <a16:creationId xmlns:a16="http://schemas.microsoft.com/office/drawing/2014/main" id="{00000000-0008-0000-2400-0000A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9" name="Pfeil nach links 168">
            <a:extLst>
              <a:ext uri="{FF2B5EF4-FFF2-40B4-BE49-F238E27FC236}">
                <a16:creationId xmlns:a16="http://schemas.microsoft.com/office/drawing/2014/main" id="{00000000-0008-0000-2400-0000A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688</xdr:row>
      <xdr:rowOff>9525</xdr:rowOff>
    </xdr:from>
    <xdr:to>
      <xdr:col>1</xdr:col>
      <xdr:colOff>372675</xdr:colOff>
      <xdr:row>689</xdr:row>
      <xdr:rowOff>10725</xdr:rowOff>
    </xdr:to>
    <xdr:grpSp>
      <xdr:nvGrpSpPr>
        <xdr:cNvPr id="170" name="Gruppieren 169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00000000-0008-0000-2400-0000AA000000}"/>
            </a:ext>
          </a:extLst>
        </xdr:cNvPr>
        <xdr:cNvGrpSpPr>
          <a:grpSpLocks noChangeAspect="1"/>
        </xdr:cNvGrpSpPr>
      </xdr:nvGrpSpPr>
      <xdr:grpSpPr>
        <a:xfrm>
          <a:off x="74295" y="130197225"/>
          <a:ext cx="306000" cy="306000"/>
          <a:chOff x="9191625" y="3009900"/>
          <a:chExt cx="324000" cy="325465"/>
        </a:xfrm>
      </xdr:grpSpPr>
      <xdr:sp macro="" textlink="">
        <xdr:nvSpPr>
          <xdr:cNvPr id="171" name="Rechteck 170">
            <a:extLst>
              <a:ext uri="{FF2B5EF4-FFF2-40B4-BE49-F238E27FC236}">
                <a16:creationId xmlns:a16="http://schemas.microsoft.com/office/drawing/2014/main" id="{00000000-0008-0000-2400-0000A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2" name="Pfeil nach links 171">
            <a:extLst>
              <a:ext uri="{FF2B5EF4-FFF2-40B4-BE49-F238E27FC236}">
                <a16:creationId xmlns:a16="http://schemas.microsoft.com/office/drawing/2014/main" id="{00000000-0008-0000-2400-0000A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700</xdr:row>
      <xdr:rowOff>9525</xdr:rowOff>
    </xdr:from>
    <xdr:to>
      <xdr:col>1</xdr:col>
      <xdr:colOff>372675</xdr:colOff>
      <xdr:row>701</xdr:row>
      <xdr:rowOff>10725</xdr:rowOff>
    </xdr:to>
    <xdr:grpSp>
      <xdr:nvGrpSpPr>
        <xdr:cNvPr id="173" name="Gruppieren 172">
          <a:hlinkClick xmlns:r="http://schemas.openxmlformats.org/officeDocument/2006/relationships" r:id="rId58"/>
          <a:extLst>
            <a:ext uri="{FF2B5EF4-FFF2-40B4-BE49-F238E27FC236}">
              <a16:creationId xmlns:a16="http://schemas.microsoft.com/office/drawing/2014/main" id="{00000000-0008-0000-2400-0000AD000000}"/>
            </a:ext>
          </a:extLst>
        </xdr:cNvPr>
        <xdr:cNvGrpSpPr>
          <a:grpSpLocks noChangeAspect="1"/>
        </xdr:cNvGrpSpPr>
      </xdr:nvGrpSpPr>
      <xdr:grpSpPr>
        <a:xfrm>
          <a:off x="74295" y="132452745"/>
          <a:ext cx="306000" cy="306000"/>
          <a:chOff x="9191625" y="3009900"/>
          <a:chExt cx="324000" cy="325465"/>
        </a:xfrm>
      </xdr:grpSpPr>
      <xdr:sp macro="" textlink="">
        <xdr:nvSpPr>
          <xdr:cNvPr id="174" name="Rechteck 173">
            <a:extLst>
              <a:ext uri="{FF2B5EF4-FFF2-40B4-BE49-F238E27FC236}">
                <a16:creationId xmlns:a16="http://schemas.microsoft.com/office/drawing/2014/main" id="{00000000-0008-0000-2400-0000A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5" name="Pfeil nach links 174">
            <a:extLst>
              <a:ext uri="{FF2B5EF4-FFF2-40B4-BE49-F238E27FC236}">
                <a16:creationId xmlns:a16="http://schemas.microsoft.com/office/drawing/2014/main" id="{00000000-0008-0000-2400-0000A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712</xdr:row>
      <xdr:rowOff>9525</xdr:rowOff>
    </xdr:from>
    <xdr:to>
      <xdr:col>1</xdr:col>
      <xdr:colOff>372675</xdr:colOff>
      <xdr:row>713</xdr:row>
      <xdr:rowOff>10725</xdr:rowOff>
    </xdr:to>
    <xdr:grpSp>
      <xdr:nvGrpSpPr>
        <xdr:cNvPr id="176" name="Gruppieren 175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00000000-0008-0000-2400-0000B0000000}"/>
            </a:ext>
          </a:extLst>
        </xdr:cNvPr>
        <xdr:cNvGrpSpPr>
          <a:grpSpLocks noChangeAspect="1"/>
        </xdr:cNvGrpSpPr>
      </xdr:nvGrpSpPr>
      <xdr:grpSpPr>
        <a:xfrm>
          <a:off x="74295" y="134708265"/>
          <a:ext cx="306000" cy="306000"/>
          <a:chOff x="9191625" y="3009900"/>
          <a:chExt cx="324000" cy="325465"/>
        </a:xfrm>
      </xdr:grpSpPr>
      <xdr:sp macro="" textlink="">
        <xdr:nvSpPr>
          <xdr:cNvPr id="177" name="Rechteck 176">
            <a:extLst>
              <a:ext uri="{FF2B5EF4-FFF2-40B4-BE49-F238E27FC236}">
                <a16:creationId xmlns:a16="http://schemas.microsoft.com/office/drawing/2014/main" id="{00000000-0008-0000-2400-0000B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8" name="Pfeil nach links 177">
            <a:extLst>
              <a:ext uri="{FF2B5EF4-FFF2-40B4-BE49-F238E27FC236}">
                <a16:creationId xmlns:a16="http://schemas.microsoft.com/office/drawing/2014/main" id="{00000000-0008-0000-2400-0000B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724</xdr:row>
      <xdr:rowOff>9525</xdr:rowOff>
    </xdr:from>
    <xdr:to>
      <xdr:col>1</xdr:col>
      <xdr:colOff>372675</xdr:colOff>
      <xdr:row>725</xdr:row>
      <xdr:rowOff>10725</xdr:rowOff>
    </xdr:to>
    <xdr:grpSp>
      <xdr:nvGrpSpPr>
        <xdr:cNvPr id="179" name="Gruppieren 178">
          <a:hlinkClick xmlns:r="http://schemas.openxmlformats.org/officeDocument/2006/relationships" r:id="rId60"/>
          <a:extLst>
            <a:ext uri="{FF2B5EF4-FFF2-40B4-BE49-F238E27FC236}">
              <a16:creationId xmlns:a16="http://schemas.microsoft.com/office/drawing/2014/main" id="{00000000-0008-0000-2400-0000B3000000}"/>
            </a:ext>
          </a:extLst>
        </xdr:cNvPr>
        <xdr:cNvGrpSpPr>
          <a:grpSpLocks noChangeAspect="1"/>
        </xdr:cNvGrpSpPr>
      </xdr:nvGrpSpPr>
      <xdr:grpSpPr>
        <a:xfrm>
          <a:off x="74295" y="136963785"/>
          <a:ext cx="306000" cy="306000"/>
          <a:chOff x="9191625" y="3009900"/>
          <a:chExt cx="324000" cy="325465"/>
        </a:xfrm>
      </xdr:grpSpPr>
      <xdr:sp macro="" textlink="">
        <xdr:nvSpPr>
          <xdr:cNvPr id="180" name="Rechteck 179">
            <a:extLst>
              <a:ext uri="{FF2B5EF4-FFF2-40B4-BE49-F238E27FC236}">
                <a16:creationId xmlns:a16="http://schemas.microsoft.com/office/drawing/2014/main" id="{00000000-0008-0000-2400-0000B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1" name="Pfeil nach links 180">
            <a:extLst>
              <a:ext uri="{FF2B5EF4-FFF2-40B4-BE49-F238E27FC236}">
                <a16:creationId xmlns:a16="http://schemas.microsoft.com/office/drawing/2014/main" id="{00000000-0008-0000-2400-0000B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736</xdr:row>
      <xdr:rowOff>9525</xdr:rowOff>
    </xdr:from>
    <xdr:to>
      <xdr:col>1</xdr:col>
      <xdr:colOff>372675</xdr:colOff>
      <xdr:row>737</xdr:row>
      <xdr:rowOff>10725</xdr:rowOff>
    </xdr:to>
    <xdr:grpSp>
      <xdr:nvGrpSpPr>
        <xdr:cNvPr id="182" name="Gruppieren 181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00000000-0008-0000-2400-0000B6000000}"/>
            </a:ext>
          </a:extLst>
        </xdr:cNvPr>
        <xdr:cNvGrpSpPr>
          <a:grpSpLocks noChangeAspect="1"/>
        </xdr:cNvGrpSpPr>
      </xdr:nvGrpSpPr>
      <xdr:grpSpPr>
        <a:xfrm>
          <a:off x="74295" y="139219305"/>
          <a:ext cx="306000" cy="306000"/>
          <a:chOff x="9191625" y="3009900"/>
          <a:chExt cx="324000" cy="325465"/>
        </a:xfrm>
      </xdr:grpSpPr>
      <xdr:sp macro="" textlink="">
        <xdr:nvSpPr>
          <xdr:cNvPr id="183" name="Rechteck 182">
            <a:extLst>
              <a:ext uri="{FF2B5EF4-FFF2-40B4-BE49-F238E27FC236}">
                <a16:creationId xmlns:a16="http://schemas.microsoft.com/office/drawing/2014/main" id="{00000000-0008-0000-2400-0000B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4" name="Pfeil nach links 183">
            <a:extLst>
              <a:ext uri="{FF2B5EF4-FFF2-40B4-BE49-F238E27FC236}">
                <a16:creationId xmlns:a16="http://schemas.microsoft.com/office/drawing/2014/main" id="{00000000-0008-0000-2400-0000B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748</xdr:row>
      <xdr:rowOff>9525</xdr:rowOff>
    </xdr:from>
    <xdr:to>
      <xdr:col>1</xdr:col>
      <xdr:colOff>372675</xdr:colOff>
      <xdr:row>749</xdr:row>
      <xdr:rowOff>10725</xdr:rowOff>
    </xdr:to>
    <xdr:grpSp>
      <xdr:nvGrpSpPr>
        <xdr:cNvPr id="185" name="Gruppieren 184">
          <a:hlinkClick xmlns:r="http://schemas.openxmlformats.org/officeDocument/2006/relationships" r:id="rId62"/>
          <a:extLst>
            <a:ext uri="{FF2B5EF4-FFF2-40B4-BE49-F238E27FC236}">
              <a16:creationId xmlns:a16="http://schemas.microsoft.com/office/drawing/2014/main" id="{00000000-0008-0000-2400-0000B9000000}"/>
            </a:ext>
          </a:extLst>
        </xdr:cNvPr>
        <xdr:cNvGrpSpPr>
          <a:grpSpLocks noChangeAspect="1"/>
        </xdr:cNvGrpSpPr>
      </xdr:nvGrpSpPr>
      <xdr:grpSpPr>
        <a:xfrm>
          <a:off x="74295" y="141474825"/>
          <a:ext cx="306000" cy="306000"/>
          <a:chOff x="9191625" y="3009900"/>
          <a:chExt cx="324000" cy="325465"/>
        </a:xfrm>
      </xdr:grpSpPr>
      <xdr:sp macro="" textlink="">
        <xdr:nvSpPr>
          <xdr:cNvPr id="186" name="Rechteck 185">
            <a:extLst>
              <a:ext uri="{FF2B5EF4-FFF2-40B4-BE49-F238E27FC236}">
                <a16:creationId xmlns:a16="http://schemas.microsoft.com/office/drawing/2014/main" id="{00000000-0008-0000-2400-0000B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7" name="Pfeil nach links 186">
            <a:extLst>
              <a:ext uri="{FF2B5EF4-FFF2-40B4-BE49-F238E27FC236}">
                <a16:creationId xmlns:a16="http://schemas.microsoft.com/office/drawing/2014/main" id="{00000000-0008-0000-2400-0000B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760</xdr:row>
      <xdr:rowOff>9525</xdr:rowOff>
    </xdr:from>
    <xdr:to>
      <xdr:col>1</xdr:col>
      <xdr:colOff>372675</xdr:colOff>
      <xdr:row>761</xdr:row>
      <xdr:rowOff>10725</xdr:rowOff>
    </xdr:to>
    <xdr:grpSp>
      <xdr:nvGrpSpPr>
        <xdr:cNvPr id="188" name="Gruppieren 187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00000000-0008-0000-2400-0000BC000000}"/>
            </a:ext>
          </a:extLst>
        </xdr:cNvPr>
        <xdr:cNvGrpSpPr>
          <a:grpSpLocks noChangeAspect="1"/>
        </xdr:cNvGrpSpPr>
      </xdr:nvGrpSpPr>
      <xdr:grpSpPr>
        <a:xfrm>
          <a:off x="74295" y="143730345"/>
          <a:ext cx="306000" cy="306000"/>
          <a:chOff x="9191625" y="3009900"/>
          <a:chExt cx="324000" cy="325465"/>
        </a:xfrm>
      </xdr:grpSpPr>
      <xdr:sp macro="" textlink="">
        <xdr:nvSpPr>
          <xdr:cNvPr id="189" name="Rechteck 188">
            <a:extLst>
              <a:ext uri="{FF2B5EF4-FFF2-40B4-BE49-F238E27FC236}">
                <a16:creationId xmlns:a16="http://schemas.microsoft.com/office/drawing/2014/main" id="{00000000-0008-0000-2400-0000B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0" name="Pfeil nach links 189">
            <a:extLst>
              <a:ext uri="{FF2B5EF4-FFF2-40B4-BE49-F238E27FC236}">
                <a16:creationId xmlns:a16="http://schemas.microsoft.com/office/drawing/2014/main" id="{00000000-0008-0000-2400-0000B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772</xdr:row>
      <xdr:rowOff>9525</xdr:rowOff>
    </xdr:from>
    <xdr:to>
      <xdr:col>1</xdr:col>
      <xdr:colOff>372675</xdr:colOff>
      <xdr:row>773</xdr:row>
      <xdr:rowOff>10725</xdr:rowOff>
    </xdr:to>
    <xdr:grpSp>
      <xdr:nvGrpSpPr>
        <xdr:cNvPr id="191" name="Gruppieren 190">
          <a:hlinkClick xmlns:r="http://schemas.openxmlformats.org/officeDocument/2006/relationships" r:id="rId64"/>
          <a:extLst>
            <a:ext uri="{FF2B5EF4-FFF2-40B4-BE49-F238E27FC236}">
              <a16:creationId xmlns:a16="http://schemas.microsoft.com/office/drawing/2014/main" id="{00000000-0008-0000-2400-0000BF000000}"/>
            </a:ext>
          </a:extLst>
        </xdr:cNvPr>
        <xdr:cNvGrpSpPr>
          <a:grpSpLocks noChangeAspect="1"/>
        </xdr:cNvGrpSpPr>
      </xdr:nvGrpSpPr>
      <xdr:grpSpPr>
        <a:xfrm>
          <a:off x="74295" y="145985865"/>
          <a:ext cx="306000" cy="306000"/>
          <a:chOff x="9191625" y="3009900"/>
          <a:chExt cx="324000" cy="325465"/>
        </a:xfrm>
      </xdr:grpSpPr>
      <xdr:sp macro="" textlink="">
        <xdr:nvSpPr>
          <xdr:cNvPr id="192" name="Rechteck 191">
            <a:extLst>
              <a:ext uri="{FF2B5EF4-FFF2-40B4-BE49-F238E27FC236}">
                <a16:creationId xmlns:a16="http://schemas.microsoft.com/office/drawing/2014/main" id="{00000000-0008-0000-2400-0000C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3" name="Pfeil nach links 192">
            <a:extLst>
              <a:ext uri="{FF2B5EF4-FFF2-40B4-BE49-F238E27FC236}">
                <a16:creationId xmlns:a16="http://schemas.microsoft.com/office/drawing/2014/main" id="{00000000-0008-0000-2400-0000C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784</xdr:row>
      <xdr:rowOff>9525</xdr:rowOff>
    </xdr:from>
    <xdr:to>
      <xdr:col>1</xdr:col>
      <xdr:colOff>372675</xdr:colOff>
      <xdr:row>785</xdr:row>
      <xdr:rowOff>10725</xdr:rowOff>
    </xdr:to>
    <xdr:grpSp>
      <xdr:nvGrpSpPr>
        <xdr:cNvPr id="194" name="Gruppieren 193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00000000-0008-0000-2400-0000C2000000}"/>
            </a:ext>
          </a:extLst>
        </xdr:cNvPr>
        <xdr:cNvGrpSpPr>
          <a:grpSpLocks noChangeAspect="1"/>
        </xdr:cNvGrpSpPr>
      </xdr:nvGrpSpPr>
      <xdr:grpSpPr>
        <a:xfrm>
          <a:off x="74295" y="148241385"/>
          <a:ext cx="306000" cy="306000"/>
          <a:chOff x="9191625" y="3009900"/>
          <a:chExt cx="324000" cy="325465"/>
        </a:xfrm>
      </xdr:grpSpPr>
      <xdr:sp macro="" textlink="">
        <xdr:nvSpPr>
          <xdr:cNvPr id="195" name="Rechteck 194">
            <a:extLst>
              <a:ext uri="{FF2B5EF4-FFF2-40B4-BE49-F238E27FC236}">
                <a16:creationId xmlns:a16="http://schemas.microsoft.com/office/drawing/2014/main" id="{00000000-0008-0000-2400-0000C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6" name="Pfeil nach links 195">
            <a:extLst>
              <a:ext uri="{FF2B5EF4-FFF2-40B4-BE49-F238E27FC236}">
                <a16:creationId xmlns:a16="http://schemas.microsoft.com/office/drawing/2014/main" id="{00000000-0008-0000-2400-0000C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796</xdr:row>
      <xdr:rowOff>9525</xdr:rowOff>
    </xdr:from>
    <xdr:to>
      <xdr:col>1</xdr:col>
      <xdr:colOff>372675</xdr:colOff>
      <xdr:row>797</xdr:row>
      <xdr:rowOff>10725</xdr:rowOff>
    </xdr:to>
    <xdr:grpSp>
      <xdr:nvGrpSpPr>
        <xdr:cNvPr id="197" name="Gruppieren 196">
          <a:hlinkClick xmlns:r="http://schemas.openxmlformats.org/officeDocument/2006/relationships" r:id="rId66"/>
          <a:extLst>
            <a:ext uri="{FF2B5EF4-FFF2-40B4-BE49-F238E27FC236}">
              <a16:creationId xmlns:a16="http://schemas.microsoft.com/office/drawing/2014/main" id="{00000000-0008-0000-2400-0000C5000000}"/>
            </a:ext>
          </a:extLst>
        </xdr:cNvPr>
        <xdr:cNvGrpSpPr>
          <a:grpSpLocks noChangeAspect="1"/>
        </xdr:cNvGrpSpPr>
      </xdr:nvGrpSpPr>
      <xdr:grpSpPr>
        <a:xfrm>
          <a:off x="74295" y="150496905"/>
          <a:ext cx="306000" cy="306000"/>
          <a:chOff x="9191625" y="3009900"/>
          <a:chExt cx="324000" cy="325465"/>
        </a:xfrm>
      </xdr:grpSpPr>
      <xdr:sp macro="" textlink="">
        <xdr:nvSpPr>
          <xdr:cNvPr id="198" name="Rechteck 197">
            <a:extLst>
              <a:ext uri="{FF2B5EF4-FFF2-40B4-BE49-F238E27FC236}">
                <a16:creationId xmlns:a16="http://schemas.microsoft.com/office/drawing/2014/main" id="{00000000-0008-0000-2400-0000C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9" name="Pfeil nach links 198">
            <a:extLst>
              <a:ext uri="{FF2B5EF4-FFF2-40B4-BE49-F238E27FC236}">
                <a16:creationId xmlns:a16="http://schemas.microsoft.com/office/drawing/2014/main" id="{00000000-0008-0000-2400-0000C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808</xdr:row>
      <xdr:rowOff>9525</xdr:rowOff>
    </xdr:from>
    <xdr:to>
      <xdr:col>1</xdr:col>
      <xdr:colOff>372675</xdr:colOff>
      <xdr:row>809</xdr:row>
      <xdr:rowOff>10725</xdr:rowOff>
    </xdr:to>
    <xdr:grpSp>
      <xdr:nvGrpSpPr>
        <xdr:cNvPr id="200" name="Gruppieren 199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00000000-0008-0000-2400-0000C8000000}"/>
            </a:ext>
          </a:extLst>
        </xdr:cNvPr>
        <xdr:cNvGrpSpPr>
          <a:grpSpLocks noChangeAspect="1"/>
        </xdr:cNvGrpSpPr>
      </xdr:nvGrpSpPr>
      <xdr:grpSpPr>
        <a:xfrm>
          <a:off x="74295" y="152752425"/>
          <a:ext cx="306000" cy="306000"/>
          <a:chOff x="9191625" y="3009900"/>
          <a:chExt cx="324000" cy="325465"/>
        </a:xfrm>
      </xdr:grpSpPr>
      <xdr:sp macro="" textlink="">
        <xdr:nvSpPr>
          <xdr:cNvPr id="201" name="Rechteck 200">
            <a:extLst>
              <a:ext uri="{FF2B5EF4-FFF2-40B4-BE49-F238E27FC236}">
                <a16:creationId xmlns:a16="http://schemas.microsoft.com/office/drawing/2014/main" id="{00000000-0008-0000-2400-0000C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2" name="Pfeil nach links 201">
            <a:extLst>
              <a:ext uri="{FF2B5EF4-FFF2-40B4-BE49-F238E27FC236}">
                <a16:creationId xmlns:a16="http://schemas.microsoft.com/office/drawing/2014/main" id="{00000000-0008-0000-2400-0000C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820</xdr:row>
      <xdr:rowOff>9525</xdr:rowOff>
    </xdr:from>
    <xdr:to>
      <xdr:col>1</xdr:col>
      <xdr:colOff>372675</xdr:colOff>
      <xdr:row>821</xdr:row>
      <xdr:rowOff>10725</xdr:rowOff>
    </xdr:to>
    <xdr:grpSp>
      <xdr:nvGrpSpPr>
        <xdr:cNvPr id="203" name="Gruppieren 202">
          <a:hlinkClick xmlns:r="http://schemas.openxmlformats.org/officeDocument/2006/relationships" r:id="rId68"/>
          <a:extLst>
            <a:ext uri="{FF2B5EF4-FFF2-40B4-BE49-F238E27FC236}">
              <a16:creationId xmlns:a16="http://schemas.microsoft.com/office/drawing/2014/main" id="{00000000-0008-0000-2400-0000CB000000}"/>
            </a:ext>
          </a:extLst>
        </xdr:cNvPr>
        <xdr:cNvGrpSpPr>
          <a:grpSpLocks noChangeAspect="1"/>
        </xdr:cNvGrpSpPr>
      </xdr:nvGrpSpPr>
      <xdr:grpSpPr>
        <a:xfrm>
          <a:off x="74295" y="155007945"/>
          <a:ext cx="306000" cy="306000"/>
          <a:chOff x="9191625" y="3009900"/>
          <a:chExt cx="324000" cy="325465"/>
        </a:xfrm>
      </xdr:grpSpPr>
      <xdr:sp macro="" textlink="">
        <xdr:nvSpPr>
          <xdr:cNvPr id="204" name="Rechteck 203">
            <a:extLst>
              <a:ext uri="{FF2B5EF4-FFF2-40B4-BE49-F238E27FC236}">
                <a16:creationId xmlns:a16="http://schemas.microsoft.com/office/drawing/2014/main" id="{00000000-0008-0000-2400-0000C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5" name="Pfeil nach links 204">
            <a:extLst>
              <a:ext uri="{FF2B5EF4-FFF2-40B4-BE49-F238E27FC236}">
                <a16:creationId xmlns:a16="http://schemas.microsoft.com/office/drawing/2014/main" id="{00000000-0008-0000-2400-0000C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832</xdr:row>
      <xdr:rowOff>9525</xdr:rowOff>
    </xdr:from>
    <xdr:to>
      <xdr:col>1</xdr:col>
      <xdr:colOff>372675</xdr:colOff>
      <xdr:row>833</xdr:row>
      <xdr:rowOff>10725</xdr:rowOff>
    </xdr:to>
    <xdr:grpSp>
      <xdr:nvGrpSpPr>
        <xdr:cNvPr id="206" name="Gruppieren 205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00000000-0008-0000-2400-0000CE000000}"/>
            </a:ext>
          </a:extLst>
        </xdr:cNvPr>
        <xdr:cNvGrpSpPr>
          <a:grpSpLocks noChangeAspect="1"/>
        </xdr:cNvGrpSpPr>
      </xdr:nvGrpSpPr>
      <xdr:grpSpPr>
        <a:xfrm>
          <a:off x="74295" y="157263465"/>
          <a:ext cx="306000" cy="306000"/>
          <a:chOff x="9191625" y="3009900"/>
          <a:chExt cx="324000" cy="325465"/>
        </a:xfrm>
      </xdr:grpSpPr>
      <xdr:sp macro="" textlink="">
        <xdr:nvSpPr>
          <xdr:cNvPr id="207" name="Rechteck 206">
            <a:extLst>
              <a:ext uri="{FF2B5EF4-FFF2-40B4-BE49-F238E27FC236}">
                <a16:creationId xmlns:a16="http://schemas.microsoft.com/office/drawing/2014/main" id="{00000000-0008-0000-2400-0000C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8" name="Pfeil nach links 207">
            <a:extLst>
              <a:ext uri="{FF2B5EF4-FFF2-40B4-BE49-F238E27FC236}">
                <a16:creationId xmlns:a16="http://schemas.microsoft.com/office/drawing/2014/main" id="{00000000-0008-0000-2400-0000D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844</xdr:row>
      <xdr:rowOff>9525</xdr:rowOff>
    </xdr:from>
    <xdr:to>
      <xdr:col>1</xdr:col>
      <xdr:colOff>372675</xdr:colOff>
      <xdr:row>845</xdr:row>
      <xdr:rowOff>10725</xdr:rowOff>
    </xdr:to>
    <xdr:grpSp>
      <xdr:nvGrpSpPr>
        <xdr:cNvPr id="209" name="Gruppieren 208">
          <a:hlinkClick xmlns:r="http://schemas.openxmlformats.org/officeDocument/2006/relationships" r:id="rId70"/>
          <a:extLst>
            <a:ext uri="{FF2B5EF4-FFF2-40B4-BE49-F238E27FC236}">
              <a16:creationId xmlns:a16="http://schemas.microsoft.com/office/drawing/2014/main" id="{00000000-0008-0000-2400-0000D1000000}"/>
            </a:ext>
          </a:extLst>
        </xdr:cNvPr>
        <xdr:cNvGrpSpPr>
          <a:grpSpLocks noChangeAspect="1"/>
        </xdr:cNvGrpSpPr>
      </xdr:nvGrpSpPr>
      <xdr:grpSpPr>
        <a:xfrm>
          <a:off x="74295" y="159518985"/>
          <a:ext cx="306000" cy="306000"/>
          <a:chOff x="9191625" y="3009900"/>
          <a:chExt cx="324000" cy="325465"/>
        </a:xfrm>
      </xdr:grpSpPr>
      <xdr:sp macro="" textlink="">
        <xdr:nvSpPr>
          <xdr:cNvPr id="210" name="Rechteck 209">
            <a:extLst>
              <a:ext uri="{FF2B5EF4-FFF2-40B4-BE49-F238E27FC236}">
                <a16:creationId xmlns:a16="http://schemas.microsoft.com/office/drawing/2014/main" id="{00000000-0008-0000-2400-0000D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1" name="Pfeil nach links 210">
            <a:extLst>
              <a:ext uri="{FF2B5EF4-FFF2-40B4-BE49-F238E27FC236}">
                <a16:creationId xmlns:a16="http://schemas.microsoft.com/office/drawing/2014/main" id="{00000000-0008-0000-2400-0000D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856</xdr:row>
      <xdr:rowOff>9525</xdr:rowOff>
    </xdr:from>
    <xdr:to>
      <xdr:col>1</xdr:col>
      <xdr:colOff>372675</xdr:colOff>
      <xdr:row>857</xdr:row>
      <xdr:rowOff>10725</xdr:rowOff>
    </xdr:to>
    <xdr:grpSp>
      <xdr:nvGrpSpPr>
        <xdr:cNvPr id="212" name="Gruppieren 211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00000000-0008-0000-2400-0000D4000000}"/>
            </a:ext>
          </a:extLst>
        </xdr:cNvPr>
        <xdr:cNvGrpSpPr>
          <a:grpSpLocks noChangeAspect="1"/>
        </xdr:cNvGrpSpPr>
      </xdr:nvGrpSpPr>
      <xdr:grpSpPr>
        <a:xfrm>
          <a:off x="74295" y="161774505"/>
          <a:ext cx="306000" cy="306000"/>
          <a:chOff x="9191625" y="3009900"/>
          <a:chExt cx="324000" cy="325465"/>
        </a:xfrm>
      </xdr:grpSpPr>
      <xdr:sp macro="" textlink="">
        <xdr:nvSpPr>
          <xdr:cNvPr id="213" name="Rechteck 212">
            <a:extLst>
              <a:ext uri="{FF2B5EF4-FFF2-40B4-BE49-F238E27FC236}">
                <a16:creationId xmlns:a16="http://schemas.microsoft.com/office/drawing/2014/main" id="{00000000-0008-0000-2400-0000D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4" name="Pfeil nach links 213">
            <a:extLst>
              <a:ext uri="{FF2B5EF4-FFF2-40B4-BE49-F238E27FC236}">
                <a16:creationId xmlns:a16="http://schemas.microsoft.com/office/drawing/2014/main" id="{00000000-0008-0000-2400-0000D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868</xdr:row>
      <xdr:rowOff>9525</xdr:rowOff>
    </xdr:from>
    <xdr:to>
      <xdr:col>1</xdr:col>
      <xdr:colOff>372675</xdr:colOff>
      <xdr:row>869</xdr:row>
      <xdr:rowOff>10725</xdr:rowOff>
    </xdr:to>
    <xdr:grpSp>
      <xdr:nvGrpSpPr>
        <xdr:cNvPr id="215" name="Gruppieren 214">
          <a:hlinkClick xmlns:r="http://schemas.openxmlformats.org/officeDocument/2006/relationships" r:id="rId72"/>
          <a:extLst>
            <a:ext uri="{FF2B5EF4-FFF2-40B4-BE49-F238E27FC236}">
              <a16:creationId xmlns:a16="http://schemas.microsoft.com/office/drawing/2014/main" id="{00000000-0008-0000-2400-0000D7000000}"/>
            </a:ext>
          </a:extLst>
        </xdr:cNvPr>
        <xdr:cNvGrpSpPr>
          <a:grpSpLocks noChangeAspect="1"/>
        </xdr:cNvGrpSpPr>
      </xdr:nvGrpSpPr>
      <xdr:grpSpPr>
        <a:xfrm>
          <a:off x="74295" y="164030025"/>
          <a:ext cx="306000" cy="306000"/>
          <a:chOff x="9191625" y="3009900"/>
          <a:chExt cx="324000" cy="325465"/>
        </a:xfrm>
      </xdr:grpSpPr>
      <xdr:sp macro="" textlink="">
        <xdr:nvSpPr>
          <xdr:cNvPr id="216" name="Rechteck 215">
            <a:extLst>
              <a:ext uri="{FF2B5EF4-FFF2-40B4-BE49-F238E27FC236}">
                <a16:creationId xmlns:a16="http://schemas.microsoft.com/office/drawing/2014/main" id="{00000000-0008-0000-2400-0000D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7" name="Pfeil nach links 216">
            <a:extLst>
              <a:ext uri="{FF2B5EF4-FFF2-40B4-BE49-F238E27FC236}">
                <a16:creationId xmlns:a16="http://schemas.microsoft.com/office/drawing/2014/main" id="{00000000-0008-0000-2400-0000D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880</xdr:row>
      <xdr:rowOff>9525</xdr:rowOff>
    </xdr:from>
    <xdr:to>
      <xdr:col>1</xdr:col>
      <xdr:colOff>372675</xdr:colOff>
      <xdr:row>881</xdr:row>
      <xdr:rowOff>10725</xdr:rowOff>
    </xdr:to>
    <xdr:grpSp>
      <xdr:nvGrpSpPr>
        <xdr:cNvPr id="218" name="Gruppieren 217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00000000-0008-0000-2400-0000DA000000}"/>
            </a:ext>
          </a:extLst>
        </xdr:cNvPr>
        <xdr:cNvGrpSpPr>
          <a:grpSpLocks noChangeAspect="1"/>
        </xdr:cNvGrpSpPr>
      </xdr:nvGrpSpPr>
      <xdr:grpSpPr>
        <a:xfrm>
          <a:off x="74295" y="166285545"/>
          <a:ext cx="306000" cy="306000"/>
          <a:chOff x="9191625" y="3009900"/>
          <a:chExt cx="324000" cy="325465"/>
        </a:xfrm>
      </xdr:grpSpPr>
      <xdr:sp macro="" textlink="">
        <xdr:nvSpPr>
          <xdr:cNvPr id="219" name="Rechteck 218">
            <a:extLst>
              <a:ext uri="{FF2B5EF4-FFF2-40B4-BE49-F238E27FC236}">
                <a16:creationId xmlns:a16="http://schemas.microsoft.com/office/drawing/2014/main" id="{00000000-0008-0000-2400-0000D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0" name="Pfeil nach links 219">
            <a:extLst>
              <a:ext uri="{FF2B5EF4-FFF2-40B4-BE49-F238E27FC236}">
                <a16:creationId xmlns:a16="http://schemas.microsoft.com/office/drawing/2014/main" id="{00000000-0008-0000-2400-0000D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892</xdr:row>
      <xdr:rowOff>9525</xdr:rowOff>
    </xdr:from>
    <xdr:to>
      <xdr:col>1</xdr:col>
      <xdr:colOff>372675</xdr:colOff>
      <xdr:row>893</xdr:row>
      <xdr:rowOff>10725</xdr:rowOff>
    </xdr:to>
    <xdr:grpSp>
      <xdr:nvGrpSpPr>
        <xdr:cNvPr id="221" name="Gruppieren 220">
          <a:hlinkClick xmlns:r="http://schemas.openxmlformats.org/officeDocument/2006/relationships" r:id="rId74"/>
          <a:extLst>
            <a:ext uri="{FF2B5EF4-FFF2-40B4-BE49-F238E27FC236}">
              <a16:creationId xmlns:a16="http://schemas.microsoft.com/office/drawing/2014/main" id="{00000000-0008-0000-2400-0000DD000000}"/>
            </a:ext>
          </a:extLst>
        </xdr:cNvPr>
        <xdr:cNvGrpSpPr>
          <a:grpSpLocks noChangeAspect="1"/>
        </xdr:cNvGrpSpPr>
      </xdr:nvGrpSpPr>
      <xdr:grpSpPr>
        <a:xfrm>
          <a:off x="74295" y="168541065"/>
          <a:ext cx="306000" cy="306000"/>
          <a:chOff x="9191625" y="3009900"/>
          <a:chExt cx="324000" cy="325465"/>
        </a:xfrm>
      </xdr:grpSpPr>
      <xdr:sp macro="" textlink="">
        <xdr:nvSpPr>
          <xdr:cNvPr id="222" name="Rechteck 221">
            <a:extLst>
              <a:ext uri="{FF2B5EF4-FFF2-40B4-BE49-F238E27FC236}">
                <a16:creationId xmlns:a16="http://schemas.microsoft.com/office/drawing/2014/main" id="{00000000-0008-0000-2400-0000D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3" name="Pfeil nach links 222">
            <a:extLst>
              <a:ext uri="{FF2B5EF4-FFF2-40B4-BE49-F238E27FC236}">
                <a16:creationId xmlns:a16="http://schemas.microsoft.com/office/drawing/2014/main" id="{00000000-0008-0000-2400-0000D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904</xdr:row>
      <xdr:rowOff>9525</xdr:rowOff>
    </xdr:from>
    <xdr:to>
      <xdr:col>1</xdr:col>
      <xdr:colOff>372675</xdr:colOff>
      <xdr:row>905</xdr:row>
      <xdr:rowOff>10725</xdr:rowOff>
    </xdr:to>
    <xdr:grpSp>
      <xdr:nvGrpSpPr>
        <xdr:cNvPr id="224" name="Gruppieren 223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00000000-0008-0000-2400-0000E0000000}"/>
            </a:ext>
          </a:extLst>
        </xdr:cNvPr>
        <xdr:cNvGrpSpPr>
          <a:grpSpLocks noChangeAspect="1"/>
        </xdr:cNvGrpSpPr>
      </xdr:nvGrpSpPr>
      <xdr:grpSpPr>
        <a:xfrm>
          <a:off x="74295" y="170796585"/>
          <a:ext cx="306000" cy="306000"/>
          <a:chOff x="9191625" y="3009900"/>
          <a:chExt cx="324000" cy="325465"/>
        </a:xfrm>
      </xdr:grpSpPr>
      <xdr:sp macro="" textlink="">
        <xdr:nvSpPr>
          <xdr:cNvPr id="225" name="Rechteck 224">
            <a:extLst>
              <a:ext uri="{FF2B5EF4-FFF2-40B4-BE49-F238E27FC236}">
                <a16:creationId xmlns:a16="http://schemas.microsoft.com/office/drawing/2014/main" id="{00000000-0008-0000-2400-0000E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6" name="Pfeil nach links 225">
            <a:extLst>
              <a:ext uri="{FF2B5EF4-FFF2-40B4-BE49-F238E27FC236}">
                <a16:creationId xmlns:a16="http://schemas.microsoft.com/office/drawing/2014/main" id="{00000000-0008-0000-2400-0000E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916</xdr:row>
      <xdr:rowOff>9525</xdr:rowOff>
    </xdr:from>
    <xdr:to>
      <xdr:col>1</xdr:col>
      <xdr:colOff>372675</xdr:colOff>
      <xdr:row>917</xdr:row>
      <xdr:rowOff>10725</xdr:rowOff>
    </xdr:to>
    <xdr:grpSp>
      <xdr:nvGrpSpPr>
        <xdr:cNvPr id="227" name="Gruppieren 226">
          <a:hlinkClick xmlns:r="http://schemas.openxmlformats.org/officeDocument/2006/relationships" r:id="rId76"/>
          <a:extLst>
            <a:ext uri="{FF2B5EF4-FFF2-40B4-BE49-F238E27FC236}">
              <a16:creationId xmlns:a16="http://schemas.microsoft.com/office/drawing/2014/main" id="{00000000-0008-0000-2400-0000E3000000}"/>
            </a:ext>
          </a:extLst>
        </xdr:cNvPr>
        <xdr:cNvGrpSpPr>
          <a:grpSpLocks noChangeAspect="1"/>
        </xdr:cNvGrpSpPr>
      </xdr:nvGrpSpPr>
      <xdr:grpSpPr>
        <a:xfrm>
          <a:off x="74295" y="173052105"/>
          <a:ext cx="306000" cy="306000"/>
          <a:chOff x="9191625" y="3009900"/>
          <a:chExt cx="324000" cy="325465"/>
        </a:xfrm>
      </xdr:grpSpPr>
      <xdr:sp macro="" textlink="">
        <xdr:nvSpPr>
          <xdr:cNvPr id="228" name="Rechteck 227">
            <a:extLst>
              <a:ext uri="{FF2B5EF4-FFF2-40B4-BE49-F238E27FC236}">
                <a16:creationId xmlns:a16="http://schemas.microsoft.com/office/drawing/2014/main" id="{00000000-0008-0000-2400-0000E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9" name="Pfeil nach links 228">
            <a:extLst>
              <a:ext uri="{FF2B5EF4-FFF2-40B4-BE49-F238E27FC236}">
                <a16:creationId xmlns:a16="http://schemas.microsoft.com/office/drawing/2014/main" id="{00000000-0008-0000-2400-0000E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928</xdr:row>
      <xdr:rowOff>9525</xdr:rowOff>
    </xdr:from>
    <xdr:to>
      <xdr:col>1</xdr:col>
      <xdr:colOff>372675</xdr:colOff>
      <xdr:row>929</xdr:row>
      <xdr:rowOff>10725</xdr:rowOff>
    </xdr:to>
    <xdr:grpSp>
      <xdr:nvGrpSpPr>
        <xdr:cNvPr id="230" name="Gruppieren 229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00000000-0008-0000-2400-0000E6000000}"/>
            </a:ext>
          </a:extLst>
        </xdr:cNvPr>
        <xdr:cNvGrpSpPr>
          <a:grpSpLocks noChangeAspect="1"/>
        </xdr:cNvGrpSpPr>
      </xdr:nvGrpSpPr>
      <xdr:grpSpPr>
        <a:xfrm>
          <a:off x="74295" y="175307625"/>
          <a:ext cx="306000" cy="306000"/>
          <a:chOff x="9191625" y="3009900"/>
          <a:chExt cx="324000" cy="325465"/>
        </a:xfrm>
      </xdr:grpSpPr>
      <xdr:sp macro="" textlink="">
        <xdr:nvSpPr>
          <xdr:cNvPr id="231" name="Rechteck 230">
            <a:extLst>
              <a:ext uri="{FF2B5EF4-FFF2-40B4-BE49-F238E27FC236}">
                <a16:creationId xmlns:a16="http://schemas.microsoft.com/office/drawing/2014/main" id="{00000000-0008-0000-2400-0000E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2" name="Pfeil nach links 231">
            <a:extLst>
              <a:ext uri="{FF2B5EF4-FFF2-40B4-BE49-F238E27FC236}">
                <a16:creationId xmlns:a16="http://schemas.microsoft.com/office/drawing/2014/main" id="{00000000-0008-0000-2400-0000E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940</xdr:row>
      <xdr:rowOff>9525</xdr:rowOff>
    </xdr:from>
    <xdr:to>
      <xdr:col>1</xdr:col>
      <xdr:colOff>372675</xdr:colOff>
      <xdr:row>941</xdr:row>
      <xdr:rowOff>10725</xdr:rowOff>
    </xdr:to>
    <xdr:grpSp>
      <xdr:nvGrpSpPr>
        <xdr:cNvPr id="233" name="Gruppieren 232">
          <a:hlinkClick xmlns:r="http://schemas.openxmlformats.org/officeDocument/2006/relationships" r:id="rId78"/>
          <a:extLst>
            <a:ext uri="{FF2B5EF4-FFF2-40B4-BE49-F238E27FC236}">
              <a16:creationId xmlns:a16="http://schemas.microsoft.com/office/drawing/2014/main" id="{00000000-0008-0000-2400-0000E9000000}"/>
            </a:ext>
          </a:extLst>
        </xdr:cNvPr>
        <xdr:cNvGrpSpPr>
          <a:grpSpLocks noChangeAspect="1"/>
        </xdr:cNvGrpSpPr>
      </xdr:nvGrpSpPr>
      <xdr:grpSpPr>
        <a:xfrm>
          <a:off x="74295" y="177563145"/>
          <a:ext cx="306000" cy="306000"/>
          <a:chOff x="9191625" y="3009900"/>
          <a:chExt cx="324000" cy="325465"/>
        </a:xfrm>
      </xdr:grpSpPr>
      <xdr:sp macro="" textlink="">
        <xdr:nvSpPr>
          <xdr:cNvPr id="234" name="Rechteck 233">
            <a:extLst>
              <a:ext uri="{FF2B5EF4-FFF2-40B4-BE49-F238E27FC236}">
                <a16:creationId xmlns:a16="http://schemas.microsoft.com/office/drawing/2014/main" id="{00000000-0008-0000-2400-0000E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5" name="Pfeil nach links 234">
            <a:extLst>
              <a:ext uri="{FF2B5EF4-FFF2-40B4-BE49-F238E27FC236}">
                <a16:creationId xmlns:a16="http://schemas.microsoft.com/office/drawing/2014/main" id="{00000000-0008-0000-2400-0000E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952</xdr:row>
      <xdr:rowOff>9525</xdr:rowOff>
    </xdr:from>
    <xdr:to>
      <xdr:col>1</xdr:col>
      <xdr:colOff>372675</xdr:colOff>
      <xdr:row>953</xdr:row>
      <xdr:rowOff>10725</xdr:rowOff>
    </xdr:to>
    <xdr:grpSp>
      <xdr:nvGrpSpPr>
        <xdr:cNvPr id="236" name="Gruppieren 235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00000000-0008-0000-2400-0000EC000000}"/>
            </a:ext>
          </a:extLst>
        </xdr:cNvPr>
        <xdr:cNvGrpSpPr>
          <a:grpSpLocks noChangeAspect="1"/>
        </xdr:cNvGrpSpPr>
      </xdr:nvGrpSpPr>
      <xdr:grpSpPr>
        <a:xfrm>
          <a:off x="74295" y="179818665"/>
          <a:ext cx="306000" cy="306000"/>
          <a:chOff x="9191625" y="3009900"/>
          <a:chExt cx="324000" cy="325465"/>
        </a:xfrm>
      </xdr:grpSpPr>
      <xdr:sp macro="" textlink="">
        <xdr:nvSpPr>
          <xdr:cNvPr id="237" name="Rechteck 236">
            <a:extLst>
              <a:ext uri="{FF2B5EF4-FFF2-40B4-BE49-F238E27FC236}">
                <a16:creationId xmlns:a16="http://schemas.microsoft.com/office/drawing/2014/main" id="{00000000-0008-0000-2400-0000E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8" name="Pfeil nach links 237">
            <a:extLst>
              <a:ext uri="{FF2B5EF4-FFF2-40B4-BE49-F238E27FC236}">
                <a16:creationId xmlns:a16="http://schemas.microsoft.com/office/drawing/2014/main" id="{00000000-0008-0000-2400-0000E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484</xdr:row>
      <xdr:rowOff>0</xdr:rowOff>
    </xdr:from>
    <xdr:to>
      <xdr:col>1</xdr:col>
      <xdr:colOff>372675</xdr:colOff>
      <xdr:row>485</xdr:row>
      <xdr:rowOff>1200</xdr:rowOff>
    </xdr:to>
    <xdr:grpSp>
      <xdr:nvGrpSpPr>
        <xdr:cNvPr id="239" name="Gruppieren 238">
          <a:hlinkClick xmlns:r="http://schemas.openxmlformats.org/officeDocument/2006/relationships" r:id="rId80"/>
          <a:extLst>
            <a:ext uri="{FF2B5EF4-FFF2-40B4-BE49-F238E27FC236}">
              <a16:creationId xmlns:a16="http://schemas.microsoft.com/office/drawing/2014/main" id="{00000000-0008-0000-2400-0000EF000000}"/>
            </a:ext>
          </a:extLst>
        </xdr:cNvPr>
        <xdr:cNvGrpSpPr>
          <a:grpSpLocks noChangeAspect="1"/>
        </xdr:cNvGrpSpPr>
      </xdr:nvGrpSpPr>
      <xdr:grpSpPr>
        <a:xfrm>
          <a:off x="74295" y="91843860"/>
          <a:ext cx="306000" cy="306000"/>
          <a:chOff x="9191625" y="3009900"/>
          <a:chExt cx="324000" cy="325465"/>
        </a:xfrm>
      </xdr:grpSpPr>
      <xdr:sp macro="" textlink="">
        <xdr:nvSpPr>
          <xdr:cNvPr id="240" name="Rechteck 239">
            <a:extLst>
              <a:ext uri="{FF2B5EF4-FFF2-40B4-BE49-F238E27FC236}">
                <a16:creationId xmlns:a16="http://schemas.microsoft.com/office/drawing/2014/main" id="{00000000-0008-0000-2400-0000F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1" name="Pfeil nach links 240">
            <a:extLst>
              <a:ext uri="{FF2B5EF4-FFF2-40B4-BE49-F238E27FC236}">
                <a16:creationId xmlns:a16="http://schemas.microsoft.com/office/drawing/2014/main" id="{00000000-0008-0000-2400-0000F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5</xdr:col>
      <xdr:colOff>85725</xdr:colOff>
      <xdr:row>1</xdr:row>
      <xdr:rowOff>57150</xdr:rowOff>
    </xdr:from>
    <xdr:to>
      <xdr:col>5</xdr:col>
      <xdr:colOff>258525</xdr:colOff>
      <xdr:row>2</xdr:row>
      <xdr:rowOff>163275</xdr:rowOff>
    </xdr:to>
    <xdr:grpSp>
      <xdr:nvGrpSpPr>
        <xdr:cNvPr id="243" name="Gruppieren 242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id="{00000000-0008-0000-2400-0000F3000000}"/>
            </a:ext>
          </a:extLst>
        </xdr:cNvPr>
        <xdr:cNvGrpSpPr/>
      </xdr:nvGrpSpPr>
      <xdr:grpSpPr>
        <a:xfrm>
          <a:off x="7759065" y="628650"/>
          <a:ext cx="172800" cy="167085"/>
          <a:chOff x="8105775" y="571500"/>
          <a:chExt cx="172800" cy="172800"/>
        </a:xfrm>
      </xdr:grpSpPr>
      <xdr:sp macro="" textlink="">
        <xdr:nvSpPr>
          <xdr:cNvPr id="244" name="Rechteck 243">
            <a:extLst>
              <a:ext uri="{FF2B5EF4-FFF2-40B4-BE49-F238E27FC236}">
                <a16:creationId xmlns:a16="http://schemas.microsoft.com/office/drawing/2014/main" id="{00000000-0008-0000-2400-0000F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5" name="Textfeld 244">
            <a:extLst>
              <a:ext uri="{FF2B5EF4-FFF2-40B4-BE49-F238E27FC236}">
                <a16:creationId xmlns:a16="http://schemas.microsoft.com/office/drawing/2014/main" id="{00000000-0008-0000-2400-0000F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1485900</xdr:colOff>
          <xdr:row>0</xdr:row>
          <xdr:rowOff>19050</xdr:rowOff>
        </xdr:from>
        <xdr:to>
          <xdr:col>5</xdr:col>
          <xdr:colOff>264795</xdr:colOff>
          <xdr:row>0</xdr:row>
          <xdr:rowOff>552450</xdr:rowOff>
        </xdr:to>
        <xdr:pic>
          <xdr:nvPicPr>
            <xdr:cNvPr id="246" name="Grafik 59">
              <a:extLst>
                <a:ext uri="{FF2B5EF4-FFF2-40B4-BE49-F238E27FC236}">
                  <a16:creationId xmlns:a16="http://schemas.microsoft.com/office/drawing/2014/main" id="{00000000-0008-0000-2400-0000F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44757"/>
                </a:ext>
              </a:extLst>
            </xdr:cNvPicPr>
          </xdr:nvPicPr>
          <xdr:blipFill>
            <a:blip xmlns:r="http://schemas.openxmlformats.org/officeDocument/2006/relationships" r:embed="rId82"/>
            <a:srcRect/>
            <a:stretch>
              <a:fillRect/>
            </a:stretch>
          </xdr:blipFill>
          <xdr:spPr bwMode="auto">
            <a:xfrm>
              <a:off x="551497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4</xdr:row>
      <xdr:rowOff>0</xdr:rowOff>
    </xdr:from>
    <xdr:to>
      <xdr:col>1</xdr:col>
      <xdr:colOff>372675</xdr:colOff>
      <xdr:row>5</xdr:row>
      <xdr:rowOff>1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GrpSpPr>
          <a:grpSpLocks noChangeAspect="1"/>
        </xdr:cNvGrpSpPr>
      </xdr:nvGrpSpPr>
      <xdr:grpSpPr>
        <a:xfrm>
          <a:off x="74295" y="899160"/>
          <a:ext cx="306000" cy="304801"/>
          <a:chOff x="9191625" y="3009900"/>
          <a:chExt cx="324000" cy="325465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2500-00000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Pfeil nach links 3">
            <a:extLst>
              <a:ext uri="{FF2B5EF4-FFF2-40B4-BE49-F238E27FC236}">
                <a16:creationId xmlns:a16="http://schemas.microsoft.com/office/drawing/2014/main" id="{00000000-0008-0000-2500-00000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16</xdr:row>
      <xdr:rowOff>9525</xdr:rowOff>
    </xdr:from>
    <xdr:to>
      <xdr:col>1</xdr:col>
      <xdr:colOff>372675</xdr:colOff>
      <xdr:row>17</xdr:row>
      <xdr:rowOff>10724</xdr:rowOff>
    </xdr:to>
    <xdr:grpSp>
      <xdr:nvGrpSpPr>
        <xdr:cNvPr id="5" name="Gruppieren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GrpSpPr>
          <a:grpSpLocks noChangeAspect="1"/>
        </xdr:cNvGrpSpPr>
      </xdr:nvGrpSpPr>
      <xdr:grpSpPr>
        <a:xfrm>
          <a:off x="74295" y="3857625"/>
          <a:ext cx="306000" cy="305999"/>
          <a:chOff x="9191625" y="3009900"/>
          <a:chExt cx="324000" cy="325465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2500-00000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links 6">
            <a:extLst>
              <a:ext uri="{FF2B5EF4-FFF2-40B4-BE49-F238E27FC236}">
                <a16:creationId xmlns:a16="http://schemas.microsoft.com/office/drawing/2014/main" id="{00000000-0008-0000-2500-00000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28</xdr:row>
      <xdr:rowOff>9525</xdr:rowOff>
    </xdr:from>
    <xdr:to>
      <xdr:col>1</xdr:col>
      <xdr:colOff>372675</xdr:colOff>
      <xdr:row>29</xdr:row>
      <xdr:rowOff>10724</xdr:rowOff>
    </xdr:to>
    <xdr:grpSp>
      <xdr:nvGrpSpPr>
        <xdr:cNvPr id="8" name="Gruppier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500-000008000000}"/>
            </a:ext>
          </a:extLst>
        </xdr:cNvPr>
        <xdr:cNvGrpSpPr>
          <a:grpSpLocks noChangeAspect="1"/>
        </xdr:cNvGrpSpPr>
      </xdr:nvGrpSpPr>
      <xdr:grpSpPr>
        <a:xfrm>
          <a:off x="74295" y="6113145"/>
          <a:ext cx="306000" cy="305999"/>
          <a:chOff x="9191625" y="300990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2500-00000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links 9">
            <a:extLst>
              <a:ext uri="{FF2B5EF4-FFF2-40B4-BE49-F238E27FC236}">
                <a16:creationId xmlns:a16="http://schemas.microsoft.com/office/drawing/2014/main" id="{00000000-0008-0000-2500-00000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40</xdr:row>
      <xdr:rowOff>9525</xdr:rowOff>
    </xdr:from>
    <xdr:to>
      <xdr:col>1</xdr:col>
      <xdr:colOff>372675</xdr:colOff>
      <xdr:row>41</xdr:row>
      <xdr:rowOff>10725</xdr:rowOff>
    </xdr:to>
    <xdr:grpSp>
      <xdr:nvGrpSpPr>
        <xdr:cNvPr id="11" name="Gruppieren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500-00000B000000}"/>
            </a:ext>
          </a:extLst>
        </xdr:cNvPr>
        <xdr:cNvGrpSpPr>
          <a:grpSpLocks noChangeAspect="1"/>
        </xdr:cNvGrpSpPr>
      </xdr:nvGrpSpPr>
      <xdr:grpSpPr>
        <a:xfrm>
          <a:off x="74295" y="8368665"/>
          <a:ext cx="306000" cy="306000"/>
          <a:chOff x="9191625" y="30099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2500-00000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links 12">
            <a:extLst>
              <a:ext uri="{FF2B5EF4-FFF2-40B4-BE49-F238E27FC236}">
                <a16:creationId xmlns:a16="http://schemas.microsoft.com/office/drawing/2014/main" id="{00000000-0008-0000-2500-00000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52</xdr:row>
      <xdr:rowOff>9525</xdr:rowOff>
    </xdr:from>
    <xdr:to>
      <xdr:col>1</xdr:col>
      <xdr:colOff>372675</xdr:colOff>
      <xdr:row>53</xdr:row>
      <xdr:rowOff>10726</xdr:rowOff>
    </xdr:to>
    <xdr:grpSp>
      <xdr:nvGrpSpPr>
        <xdr:cNvPr id="14" name="Gruppieren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500-00000E000000}"/>
            </a:ext>
          </a:extLst>
        </xdr:cNvPr>
        <xdr:cNvGrpSpPr>
          <a:grpSpLocks noChangeAspect="1"/>
        </xdr:cNvGrpSpPr>
      </xdr:nvGrpSpPr>
      <xdr:grpSpPr>
        <a:xfrm>
          <a:off x="74295" y="10624185"/>
          <a:ext cx="306000" cy="306001"/>
          <a:chOff x="9191625" y="3009900"/>
          <a:chExt cx="324000" cy="325465"/>
        </a:xfrm>
      </xdr:grpSpPr>
      <xdr:sp macro="" textlink="">
        <xdr:nvSpPr>
          <xdr:cNvPr id="15" name="Rechteck 14">
            <a:extLst>
              <a:ext uri="{FF2B5EF4-FFF2-40B4-BE49-F238E27FC236}">
                <a16:creationId xmlns:a16="http://schemas.microsoft.com/office/drawing/2014/main" id="{00000000-0008-0000-2500-00000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" name="Pfeil nach links 15">
            <a:extLst>
              <a:ext uri="{FF2B5EF4-FFF2-40B4-BE49-F238E27FC236}">
                <a16:creationId xmlns:a16="http://schemas.microsoft.com/office/drawing/2014/main" id="{00000000-0008-0000-2500-00001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64</xdr:row>
      <xdr:rowOff>9525</xdr:rowOff>
    </xdr:from>
    <xdr:to>
      <xdr:col>1</xdr:col>
      <xdr:colOff>372675</xdr:colOff>
      <xdr:row>65</xdr:row>
      <xdr:rowOff>10724</xdr:rowOff>
    </xdr:to>
    <xdr:grpSp>
      <xdr:nvGrpSpPr>
        <xdr:cNvPr id="17" name="Gruppieren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500-000011000000}"/>
            </a:ext>
          </a:extLst>
        </xdr:cNvPr>
        <xdr:cNvGrpSpPr>
          <a:grpSpLocks noChangeAspect="1"/>
        </xdr:cNvGrpSpPr>
      </xdr:nvGrpSpPr>
      <xdr:grpSpPr>
        <a:xfrm>
          <a:off x="74295" y="12879705"/>
          <a:ext cx="306000" cy="305999"/>
          <a:chOff x="9191625" y="3009900"/>
          <a:chExt cx="324000" cy="325465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2500-00001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" name="Pfeil nach links 18">
            <a:extLst>
              <a:ext uri="{FF2B5EF4-FFF2-40B4-BE49-F238E27FC236}">
                <a16:creationId xmlns:a16="http://schemas.microsoft.com/office/drawing/2014/main" id="{00000000-0008-0000-2500-00001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76</xdr:row>
      <xdr:rowOff>9525</xdr:rowOff>
    </xdr:from>
    <xdr:to>
      <xdr:col>1</xdr:col>
      <xdr:colOff>372675</xdr:colOff>
      <xdr:row>77</xdr:row>
      <xdr:rowOff>10724</xdr:rowOff>
    </xdr:to>
    <xdr:grpSp>
      <xdr:nvGrpSpPr>
        <xdr:cNvPr id="20" name="Gruppieren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500-000014000000}"/>
            </a:ext>
          </a:extLst>
        </xdr:cNvPr>
        <xdr:cNvGrpSpPr>
          <a:grpSpLocks noChangeAspect="1"/>
        </xdr:cNvGrpSpPr>
      </xdr:nvGrpSpPr>
      <xdr:grpSpPr>
        <a:xfrm>
          <a:off x="74295" y="15135225"/>
          <a:ext cx="306000" cy="305999"/>
          <a:chOff x="9191625" y="3009900"/>
          <a:chExt cx="324000" cy="325465"/>
        </a:xfrm>
      </xdr:grpSpPr>
      <xdr:sp macro="" textlink="">
        <xdr:nvSpPr>
          <xdr:cNvPr id="21" name="Rechteck 20">
            <a:extLst>
              <a:ext uri="{FF2B5EF4-FFF2-40B4-BE49-F238E27FC236}">
                <a16:creationId xmlns:a16="http://schemas.microsoft.com/office/drawing/2014/main" id="{00000000-0008-0000-2500-00001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" name="Pfeil nach links 21">
            <a:extLst>
              <a:ext uri="{FF2B5EF4-FFF2-40B4-BE49-F238E27FC236}">
                <a16:creationId xmlns:a16="http://schemas.microsoft.com/office/drawing/2014/main" id="{00000000-0008-0000-2500-00001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88</xdr:row>
      <xdr:rowOff>9525</xdr:rowOff>
    </xdr:from>
    <xdr:to>
      <xdr:col>1</xdr:col>
      <xdr:colOff>372675</xdr:colOff>
      <xdr:row>89</xdr:row>
      <xdr:rowOff>10725</xdr:rowOff>
    </xdr:to>
    <xdr:grpSp>
      <xdr:nvGrpSpPr>
        <xdr:cNvPr id="23" name="Gruppieren 2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2500-000017000000}"/>
            </a:ext>
          </a:extLst>
        </xdr:cNvPr>
        <xdr:cNvGrpSpPr>
          <a:grpSpLocks noChangeAspect="1"/>
        </xdr:cNvGrpSpPr>
      </xdr:nvGrpSpPr>
      <xdr:grpSpPr>
        <a:xfrm>
          <a:off x="74295" y="17390745"/>
          <a:ext cx="306000" cy="306000"/>
          <a:chOff x="9191625" y="3009900"/>
          <a:chExt cx="324000" cy="325465"/>
        </a:xfrm>
      </xdr:grpSpPr>
      <xdr:sp macro="" textlink="">
        <xdr:nvSpPr>
          <xdr:cNvPr id="24" name="Rechteck 23">
            <a:extLst>
              <a:ext uri="{FF2B5EF4-FFF2-40B4-BE49-F238E27FC236}">
                <a16:creationId xmlns:a16="http://schemas.microsoft.com/office/drawing/2014/main" id="{00000000-0008-0000-2500-00001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5" name="Pfeil nach links 24">
            <a:extLst>
              <a:ext uri="{FF2B5EF4-FFF2-40B4-BE49-F238E27FC236}">
                <a16:creationId xmlns:a16="http://schemas.microsoft.com/office/drawing/2014/main" id="{00000000-0008-0000-2500-00001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100</xdr:row>
      <xdr:rowOff>9525</xdr:rowOff>
    </xdr:from>
    <xdr:to>
      <xdr:col>1</xdr:col>
      <xdr:colOff>372675</xdr:colOff>
      <xdr:row>101</xdr:row>
      <xdr:rowOff>10726</xdr:rowOff>
    </xdr:to>
    <xdr:grpSp>
      <xdr:nvGrpSpPr>
        <xdr:cNvPr id="26" name="Gruppieren 2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2500-00001A000000}"/>
            </a:ext>
          </a:extLst>
        </xdr:cNvPr>
        <xdr:cNvGrpSpPr>
          <a:grpSpLocks noChangeAspect="1"/>
        </xdr:cNvGrpSpPr>
      </xdr:nvGrpSpPr>
      <xdr:grpSpPr>
        <a:xfrm>
          <a:off x="74295" y="19646265"/>
          <a:ext cx="306000" cy="306001"/>
          <a:chOff x="9191625" y="3009900"/>
          <a:chExt cx="324000" cy="325465"/>
        </a:xfrm>
      </xdr:grpSpPr>
      <xdr:sp macro="" textlink="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2500-00001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8" name="Pfeil nach links 27">
            <a:extLst>
              <a:ext uri="{FF2B5EF4-FFF2-40B4-BE49-F238E27FC236}">
                <a16:creationId xmlns:a16="http://schemas.microsoft.com/office/drawing/2014/main" id="{00000000-0008-0000-2500-00001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112</xdr:row>
      <xdr:rowOff>9525</xdr:rowOff>
    </xdr:from>
    <xdr:to>
      <xdr:col>1</xdr:col>
      <xdr:colOff>372675</xdr:colOff>
      <xdr:row>113</xdr:row>
      <xdr:rowOff>10724</xdr:rowOff>
    </xdr:to>
    <xdr:grpSp>
      <xdr:nvGrpSpPr>
        <xdr:cNvPr id="29" name="Gruppieren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2500-00001D000000}"/>
            </a:ext>
          </a:extLst>
        </xdr:cNvPr>
        <xdr:cNvGrpSpPr>
          <a:grpSpLocks noChangeAspect="1"/>
        </xdr:cNvGrpSpPr>
      </xdr:nvGrpSpPr>
      <xdr:grpSpPr>
        <a:xfrm>
          <a:off x="74295" y="21901785"/>
          <a:ext cx="306000" cy="305999"/>
          <a:chOff x="9191625" y="3009900"/>
          <a:chExt cx="324000" cy="325465"/>
        </a:xfrm>
      </xdr:grpSpPr>
      <xdr:sp macro="" textlink="">
        <xdr:nvSpPr>
          <xdr:cNvPr id="30" name="Rechteck 29">
            <a:extLst>
              <a:ext uri="{FF2B5EF4-FFF2-40B4-BE49-F238E27FC236}">
                <a16:creationId xmlns:a16="http://schemas.microsoft.com/office/drawing/2014/main" id="{00000000-0008-0000-2500-00001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1" name="Pfeil nach links 30">
            <a:extLst>
              <a:ext uri="{FF2B5EF4-FFF2-40B4-BE49-F238E27FC236}">
                <a16:creationId xmlns:a16="http://schemas.microsoft.com/office/drawing/2014/main" id="{00000000-0008-0000-2500-00001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124</xdr:row>
      <xdr:rowOff>9525</xdr:rowOff>
    </xdr:from>
    <xdr:to>
      <xdr:col>1</xdr:col>
      <xdr:colOff>372675</xdr:colOff>
      <xdr:row>125</xdr:row>
      <xdr:rowOff>10724</xdr:rowOff>
    </xdr:to>
    <xdr:grpSp>
      <xdr:nvGrpSpPr>
        <xdr:cNvPr id="32" name="Gruppieren 3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2500-000020000000}"/>
            </a:ext>
          </a:extLst>
        </xdr:cNvPr>
        <xdr:cNvGrpSpPr>
          <a:grpSpLocks noChangeAspect="1"/>
        </xdr:cNvGrpSpPr>
      </xdr:nvGrpSpPr>
      <xdr:grpSpPr>
        <a:xfrm>
          <a:off x="74295" y="24157305"/>
          <a:ext cx="306000" cy="305999"/>
          <a:chOff x="9191625" y="3009900"/>
          <a:chExt cx="324000" cy="325465"/>
        </a:xfrm>
      </xdr:grpSpPr>
      <xdr:sp macro="" textlink="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2500-00002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4" name="Pfeil nach links 33">
            <a:extLst>
              <a:ext uri="{FF2B5EF4-FFF2-40B4-BE49-F238E27FC236}">
                <a16:creationId xmlns:a16="http://schemas.microsoft.com/office/drawing/2014/main" id="{00000000-0008-0000-2500-00002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136</xdr:row>
      <xdr:rowOff>9525</xdr:rowOff>
    </xdr:from>
    <xdr:to>
      <xdr:col>1</xdr:col>
      <xdr:colOff>372675</xdr:colOff>
      <xdr:row>137</xdr:row>
      <xdr:rowOff>10725</xdr:rowOff>
    </xdr:to>
    <xdr:grpSp>
      <xdr:nvGrpSpPr>
        <xdr:cNvPr id="35" name="Gruppieren 3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2500-000023000000}"/>
            </a:ext>
          </a:extLst>
        </xdr:cNvPr>
        <xdr:cNvGrpSpPr>
          <a:grpSpLocks noChangeAspect="1"/>
        </xdr:cNvGrpSpPr>
      </xdr:nvGrpSpPr>
      <xdr:grpSpPr>
        <a:xfrm>
          <a:off x="74295" y="26412825"/>
          <a:ext cx="306000" cy="306000"/>
          <a:chOff x="9191625" y="3009900"/>
          <a:chExt cx="324000" cy="325465"/>
        </a:xfrm>
      </xdr:grpSpPr>
      <xdr:sp macro="" textlink="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2500-00002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7" name="Pfeil nach links 36">
            <a:extLst>
              <a:ext uri="{FF2B5EF4-FFF2-40B4-BE49-F238E27FC236}">
                <a16:creationId xmlns:a16="http://schemas.microsoft.com/office/drawing/2014/main" id="{00000000-0008-0000-2500-00002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148</xdr:row>
      <xdr:rowOff>9525</xdr:rowOff>
    </xdr:from>
    <xdr:to>
      <xdr:col>1</xdr:col>
      <xdr:colOff>372675</xdr:colOff>
      <xdr:row>149</xdr:row>
      <xdr:rowOff>10726</xdr:rowOff>
    </xdr:to>
    <xdr:grpSp>
      <xdr:nvGrpSpPr>
        <xdr:cNvPr id="38" name="Gruppieren 3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2500-000026000000}"/>
            </a:ext>
          </a:extLst>
        </xdr:cNvPr>
        <xdr:cNvGrpSpPr>
          <a:grpSpLocks noChangeAspect="1"/>
        </xdr:cNvGrpSpPr>
      </xdr:nvGrpSpPr>
      <xdr:grpSpPr>
        <a:xfrm>
          <a:off x="74295" y="28668345"/>
          <a:ext cx="306000" cy="306001"/>
          <a:chOff x="9191625" y="3009900"/>
          <a:chExt cx="324000" cy="325465"/>
        </a:xfrm>
      </xdr:grpSpPr>
      <xdr:sp macro="" textlink="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2500-00002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0" name="Pfeil nach links 39">
            <a:extLst>
              <a:ext uri="{FF2B5EF4-FFF2-40B4-BE49-F238E27FC236}">
                <a16:creationId xmlns:a16="http://schemas.microsoft.com/office/drawing/2014/main" id="{00000000-0008-0000-2500-00002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160</xdr:row>
      <xdr:rowOff>9525</xdr:rowOff>
    </xdr:from>
    <xdr:to>
      <xdr:col>1</xdr:col>
      <xdr:colOff>372675</xdr:colOff>
      <xdr:row>161</xdr:row>
      <xdr:rowOff>10724</xdr:rowOff>
    </xdr:to>
    <xdr:grpSp>
      <xdr:nvGrpSpPr>
        <xdr:cNvPr id="41" name="Gruppieren 40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2500-000029000000}"/>
            </a:ext>
          </a:extLst>
        </xdr:cNvPr>
        <xdr:cNvGrpSpPr>
          <a:grpSpLocks noChangeAspect="1"/>
        </xdr:cNvGrpSpPr>
      </xdr:nvGrpSpPr>
      <xdr:grpSpPr>
        <a:xfrm>
          <a:off x="74295" y="30923865"/>
          <a:ext cx="306000" cy="305999"/>
          <a:chOff x="9191625" y="3009900"/>
          <a:chExt cx="324000" cy="325465"/>
        </a:xfrm>
      </xdr:grpSpPr>
      <xdr:sp macro="" textlink="">
        <xdr:nvSpPr>
          <xdr:cNvPr id="42" name="Rechteck 41">
            <a:extLst>
              <a:ext uri="{FF2B5EF4-FFF2-40B4-BE49-F238E27FC236}">
                <a16:creationId xmlns:a16="http://schemas.microsoft.com/office/drawing/2014/main" id="{00000000-0008-0000-2500-00002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3" name="Pfeil nach links 42">
            <a:extLst>
              <a:ext uri="{FF2B5EF4-FFF2-40B4-BE49-F238E27FC236}">
                <a16:creationId xmlns:a16="http://schemas.microsoft.com/office/drawing/2014/main" id="{00000000-0008-0000-2500-00002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172</xdr:row>
      <xdr:rowOff>9525</xdr:rowOff>
    </xdr:from>
    <xdr:to>
      <xdr:col>1</xdr:col>
      <xdr:colOff>372675</xdr:colOff>
      <xdr:row>173</xdr:row>
      <xdr:rowOff>10724</xdr:rowOff>
    </xdr:to>
    <xdr:grpSp>
      <xdr:nvGrpSpPr>
        <xdr:cNvPr id="44" name="Gruppieren 43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2500-00002C000000}"/>
            </a:ext>
          </a:extLst>
        </xdr:cNvPr>
        <xdr:cNvGrpSpPr>
          <a:grpSpLocks noChangeAspect="1"/>
        </xdr:cNvGrpSpPr>
      </xdr:nvGrpSpPr>
      <xdr:grpSpPr>
        <a:xfrm>
          <a:off x="74295" y="33179385"/>
          <a:ext cx="306000" cy="305999"/>
          <a:chOff x="9191625" y="3009900"/>
          <a:chExt cx="324000" cy="325465"/>
        </a:xfrm>
      </xdr:grpSpPr>
      <xdr:sp macro="" textlink="">
        <xdr:nvSpPr>
          <xdr:cNvPr id="45" name="Rechteck 44">
            <a:extLst>
              <a:ext uri="{FF2B5EF4-FFF2-40B4-BE49-F238E27FC236}">
                <a16:creationId xmlns:a16="http://schemas.microsoft.com/office/drawing/2014/main" id="{00000000-0008-0000-2500-00002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6" name="Pfeil nach links 45">
            <a:extLst>
              <a:ext uri="{FF2B5EF4-FFF2-40B4-BE49-F238E27FC236}">
                <a16:creationId xmlns:a16="http://schemas.microsoft.com/office/drawing/2014/main" id="{00000000-0008-0000-2500-00002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184</xdr:row>
      <xdr:rowOff>9525</xdr:rowOff>
    </xdr:from>
    <xdr:to>
      <xdr:col>1</xdr:col>
      <xdr:colOff>372675</xdr:colOff>
      <xdr:row>185</xdr:row>
      <xdr:rowOff>10725</xdr:rowOff>
    </xdr:to>
    <xdr:grpSp>
      <xdr:nvGrpSpPr>
        <xdr:cNvPr id="47" name="Gruppieren 46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2500-00002F000000}"/>
            </a:ext>
          </a:extLst>
        </xdr:cNvPr>
        <xdr:cNvGrpSpPr>
          <a:grpSpLocks noChangeAspect="1"/>
        </xdr:cNvGrpSpPr>
      </xdr:nvGrpSpPr>
      <xdr:grpSpPr>
        <a:xfrm>
          <a:off x="74295" y="35434905"/>
          <a:ext cx="306000" cy="306000"/>
          <a:chOff x="9191625" y="3009900"/>
          <a:chExt cx="324000" cy="325465"/>
        </a:xfrm>
      </xdr:grpSpPr>
      <xdr:sp macro="" textlink="">
        <xdr:nvSpPr>
          <xdr:cNvPr id="48" name="Rechteck 47">
            <a:extLst>
              <a:ext uri="{FF2B5EF4-FFF2-40B4-BE49-F238E27FC236}">
                <a16:creationId xmlns:a16="http://schemas.microsoft.com/office/drawing/2014/main" id="{00000000-0008-0000-2500-00003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9" name="Pfeil nach links 48">
            <a:extLst>
              <a:ext uri="{FF2B5EF4-FFF2-40B4-BE49-F238E27FC236}">
                <a16:creationId xmlns:a16="http://schemas.microsoft.com/office/drawing/2014/main" id="{00000000-0008-0000-2500-00003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196</xdr:row>
      <xdr:rowOff>9525</xdr:rowOff>
    </xdr:from>
    <xdr:to>
      <xdr:col>1</xdr:col>
      <xdr:colOff>372675</xdr:colOff>
      <xdr:row>197</xdr:row>
      <xdr:rowOff>10726</xdr:rowOff>
    </xdr:to>
    <xdr:grpSp>
      <xdr:nvGrpSpPr>
        <xdr:cNvPr id="50" name="Gruppieren 4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2500-000032000000}"/>
            </a:ext>
          </a:extLst>
        </xdr:cNvPr>
        <xdr:cNvGrpSpPr>
          <a:grpSpLocks noChangeAspect="1"/>
        </xdr:cNvGrpSpPr>
      </xdr:nvGrpSpPr>
      <xdr:grpSpPr>
        <a:xfrm>
          <a:off x="74295" y="37690425"/>
          <a:ext cx="306000" cy="306001"/>
          <a:chOff x="9191625" y="3009900"/>
          <a:chExt cx="324000" cy="325465"/>
        </a:xfrm>
      </xdr:grpSpPr>
      <xdr:sp macro="" textlink="">
        <xdr:nvSpPr>
          <xdr:cNvPr id="51" name="Rechteck 50">
            <a:extLst>
              <a:ext uri="{FF2B5EF4-FFF2-40B4-BE49-F238E27FC236}">
                <a16:creationId xmlns:a16="http://schemas.microsoft.com/office/drawing/2014/main" id="{00000000-0008-0000-2500-00003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2" name="Pfeil nach links 51">
            <a:extLst>
              <a:ext uri="{FF2B5EF4-FFF2-40B4-BE49-F238E27FC236}">
                <a16:creationId xmlns:a16="http://schemas.microsoft.com/office/drawing/2014/main" id="{00000000-0008-0000-2500-00003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208</xdr:row>
      <xdr:rowOff>9525</xdr:rowOff>
    </xdr:from>
    <xdr:to>
      <xdr:col>1</xdr:col>
      <xdr:colOff>372675</xdr:colOff>
      <xdr:row>209</xdr:row>
      <xdr:rowOff>10724</xdr:rowOff>
    </xdr:to>
    <xdr:grpSp>
      <xdr:nvGrpSpPr>
        <xdr:cNvPr id="53" name="Gruppieren 52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2500-000035000000}"/>
            </a:ext>
          </a:extLst>
        </xdr:cNvPr>
        <xdr:cNvGrpSpPr>
          <a:grpSpLocks noChangeAspect="1"/>
        </xdr:cNvGrpSpPr>
      </xdr:nvGrpSpPr>
      <xdr:grpSpPr>
        <a:xfrm>
          <a:off x="74295" y="39945945"/>
          <a:ext cx="306000" cy="305999"/>
          <a:chOff x="9191625" y="3009900"/>
          <a:chExt cx="324000" cy="325465"/>
        </a:xfrm>
      </xdr:grpSpPr>
      <xdr:sp macro="" textlink="">
        <xdr:nvSpPr>
          <xdr:cNvPr id="54" name="Rechteck 53">
            <a:extLst>
              <a:ext uri="{FF2B5EF4-FFF2-40B4-BE49-F238E27FC236}">
                <a16:creationId xmlns:a16="http://schemas.microsoft.com/office/drawing/2014/main" id="{00000000-0008-0000-2500-00003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5" name="Pfeil nach links 54">
            <a:extLst>
              <a:ext uri="{FF2B5EF4-FFF2-40B4-BE49-F238E27FC236}">
                <a16:creationId xmlns:a16="http://schemas.microsoft.com/office/drawing/2014/main" id="{00000000-0008-0000-2500-00003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220</xdr:row>
      <xdr:rowOff>9525</xdr:rowOff>
    </xdr:from>
    <xdr:to>
      <xdr:col>1</xdr:col>
      <xdr:colOff>372675</xdr:colOff>
      <xdr:row>221</xdr:row>
      <xdr:rowOff>10725</xdr:rowOff>
    </xdr:to>
    <xdr:grpSp>
      <xdr:nvGrpSpPr>
        <xdr:cNvPr id="56" name="Gruppieren 55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2500-000038000000}"/>
            </a:ext>
          </a:extLst>
        </xdr:cNvPr>
        <xdr:cNvGrpSpPr>
          <a:grpSpLocks noChangeAspect="1"/>
        </xdr:cNvGrpSpPr>
      </xdr:nvGrpSpPr>
      <xdr:grpSpPr>
        <a:xfrm>
          <a:off x="74295" y="42201465"/>
          <a:ext cx="306000" cy="306000"/>
          <a:chOff x="9191625" y="3009900"/>
          <a:chExt cx="324000" cy="325465"/>
        </a:xfrm>
      </xdr:grpSpPr>
      <xdr:sp macro="" textlink="">
        <xdr:nvSpPr>
          <xdr:cNvPr id="57" name="Rechteck 56">
            <a:extLst>
              <a:ext uri="{FF2B5EF4-FFF2-40B4-BE49-F238E27FC236}">
                <a16:creationId xmlns:a16="http://schemas.microsoft.com/office/drawing/2014/main" id="{00000000-0008-0000-2500-00003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8" name="Pfeil nach links 57">
            <a:extLst>
              <a:ext uri="{FF2B5EF4-FFF2-40B4-BE49-F238E27FC236}">
                <a16:creationId xmlns:a16="http://schemas.microsoft.com/office/drawing/2014/main" id="{00000000-0008-0000-2500-00003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232</xdr:row>
      <xdr:rowOff>9525</xdr:rowOff>
    </xdr:from>
    <xdr:to>
      <xdr:col>1</xdr:col>
      <xdr:colOff>372675</xdr:colOff>
      <xdr:row>233</xdr:row>
      <xdr:rowOff>10726</xdr:rowOff>
    </xdr:to>
    <xdr:grpSp>
      <xdr:nvGrpSpPr>
        <xdr:cNvPr id="59" name="Gruppieren 58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2500-00003B000000}"/>
            </a:ext>
          </a:extLst>
        </xdr:cNvPr>
        <xdr:cNvGrpSpPr>
          <a:grpSpLocks noChangeAspect="1"/>
        </xdr:cNvGrpSpPr>
      </xdr:nvGrpSpPr>
      <xdr:grpSpPr>
        <a:xfrm>
          <a:off x="74295" y="44456985"/>
          <a:ext cx="306000" cy="306001"/>
          <a:chOff x="9191625" y="3009900"/>
          <a:chExt cx="324000" cy="325465"/>
        </a:xfrm>
      </xdr:grpSpPr>
      <xdr:sp macro="" textlink="">
        <xdr:nvSpPr>
          <xdr:cNvPr id="60" name="Rechteck 59">
            <a:extLst>
              <a:ext uri="{FF2B5EF4-FFF2-40B4-BE49-F238E27FC236}">
                <a16:creationId xmlns:a16="http://schemas.microsoft.com/office/drawing/2014/main" id="{00000000-0008-0000-2500-00003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1" name="Pfeil nach links 60">
            <a:extLst>
              <a:ext uri="{FF2B5EF4-FFF2-40B4-BE49-F238E27FC236}">
                <a16:creationId xmlns:a16="http://schemas.microsoft.com/office/drawing/2014/main" id="{00000000-0008-0000-2500-00003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244</xdr:row>
      <xdr:rowOff>9525</xdr:rowOff>
    </xdr:from>
    <xdr:to>
      <xdr:col>1</xdr:col>
      <xdr:colOff>372675</xdr:colOff>
      <xdr:row>245</xdr:row>
      <xdr:rowOff>10726</xdr:rowOff>
    </xdr:to>
    <xdr:grpSp>
      <xdr:nvGrpSpPr>
        <xdr:cNvPr id="62" name="Gruppieren 61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2500-00003E000000}"/>
            </a:ext>
          </a:extLst>
        </xdr:cNvPr>
        <xdr:cNvGrpSpPr>
          <a:grpSpLocks noChangeAspect="1"/>
        </xdr:cNvGrpSpPr>
      </xdr:nvGrpSpPr>
      <xdr:grpSpPr>
        <a:xfrm>
          <a:off x="74295" y="46712505"/>
          <a:ext cx="306000" cy="306001"/>
          <a:chOff x="9191625" y="3009900"/>
          <a:chExt cx="324000" cy="325465"/>
        </a:xfrm>
      </xdr:grpSpPr>
      <xdr:sp macro="" textlink="">
        <xdr:nvSpPr>
          <xdr:cNvPr id="63" name="Rechteck 62">
            <a:extLst>
              <a:ext uri="{FF2B5EF4-FFF2-40B4-BE49-F238E27FC236}">
                <a16:creationId xmlns:a16="http://schemas.microsoft.com/office/drawing/2014/main" id="{00000000-0008-0000-2500-00003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4" name="Pfeil nach links 63">
            <a:extLst>
              <a:ext uri="{FF2B5EF4-FFF2-40B4-BE49-F238E27FC236}">
                <a16:creationId xmlns:a16="http://schemas.microsoft.com/office/drawing/2014/main" id="{00000000-0008-0000-2500-00004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256</xdr:row>
      <xdr:rowOff>9525</xdr:rowOff>
    </xdr:from>
    <xdr:to>
      <xdr:col>1</xdr:col>
      <xdr:colOff>372675</xdr:colOff>
      <xdr:row>257</xdr:row>
      <xdr:rowOff>10724</xdr:rowOff>
    </xdr:to>
    <xdr:grpSp>
      <xdr:nvGrpSpPr>
        <xdr:cNvPr id="65" name="Gruppieren 64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2500-000041000000}"/>
            </a:ext>
          </a:extLst>
        </xdr:cNvPr>
        <xdr:cNvGrpSpPr>
          <a:grpSpLocks noChangeAspect="1"/>
        </xdr:cNvGrpSpPr>
      </xdr:nvGrpSpPr>
      <xdr:grpSpPr>
        <a:xfrm>
          <a:off x="74295" y="48968025"/>
          <a:ext cx="306000" cy="305999"/>
          <a:chOff x="9191625" y="3009900"/>
          <a:chExt cx="324000" cy="325465"/>
        </a:xfrm>
      </xdr:grpSpPr>
      <xdr:sp macro="" textlink="">
        <xdr:nvSpPr>
          <xdr:cNvPr id="66" name="Rechteck 65">
            <a:extLst>
              <a:ext uri="{FF2B5EF4-FFF2-40B4-BE49-F238E27FC236}">
                <a16:creationId xmlns:a16="http://schemas.microsoft.com/office/drawing/2014/main" id="{00000000-0008-0000-2500-00004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7" name="Pfeil nach links 66">
            <a:extLst>
              <a:ext uri="{FF2B5EF4-FFF2-40B4-BE49-F238E27FC236}">
                <a16:creationId xmlns:a16="http://schemas.microsoft.com/office/drawing/2014/main" id="{00000000-0008-0000-2500-00004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268</xdr:row>
      <xdr:rowOff>9525</xdr:rowOff>
    </xdr:from>
    <xdr:to>
      <xdr:col>1</xdr:col>
      <xdr:colOff>372675</xdr:colOff>
      <xdr:row>269</xdr:row>
      <xdr:rowOff>10725</xdr:rowOff>
    </xdr:to>
    <xdr:grpSp>
      <xdr:nvGrpSpPr>
        <xdr:cNvPr id="68" name="Gruppieren 67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2500-000044000000}"/>
            </a:ext>
          </a:extLst>
        </xdr:cNvPr>
        <xdr:cNvGrpSpPr>
          <a:grpSpLocks noChangeAspect="1"/>
        </xdr:cNvGrpSpPr>
      </xdr:nvGrpSpPr>
      <xdr:grpSpPr>
        <a:xfrm>
          <a:off x="74295" y="51223545"/>
          <a:ext cx="306000" cy="306000"/>
          <a:chOff x="9191625" y="3009900"/>
          <a:chExt cx="324000" cy="325465"/>
        </a:xfrm>
      </xdr:grpSpPr>
      <xdr:sp macro="" textlink="">
        <xdr:nvSpPr>
          <xdr:cNvPr id="69" name="Rechteck 68">
            <a:extLst>
              <a:ext uri="{FF2B5EF4-FFF2-40B4-BE49-F238E27FC236}">
                <a16:creationId xmlns:a16="http://schemas.microsoft.com/office/drawing/2014/main" id="{00000000-0008-0000-2500-00004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0" name="Pfeil nach links 69">
            <a:extLst>
              <a:ext uri="{FF2B5EF4-FFF2-40B4-BE49-F238E27FC236}">
                <a16:creationId xmlns:a16="http://schemas.microsoft.com/office/drawing/2014/main" id="{00000000-0008-0000-2500-00004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280</xdr:row>
      <xdr:rowOff>9525</xdr:rowOff>
    </xdr:from>
    <xdr:to>
      <xdr:col>1</xdr:col>
      <xdr:colOff>372675</xdr:colOff>
      <xdr:row>281</xdr:row>
      <xdr:rowOff>10726</xdr:rowOff>
    </xdr:to>
    <xdr:grpSp>
      <xdr:nvGrpSpPr>
        <xdr:cNvPr id="71" name="Gruppieren 70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2500-000047000000}"/>
            </a:ext>
          </a:extLst>
        </xdr:cNvPr>
        <xdr:cNvGrpSpPr>
          <a:grpSpLocks noChangeAspect="1"/>
        </xdr:cNvGrpSpPr>
      </xdr:nvGrpSpPr>
      <xdr:grpSpPr>
        <a:xfrm>
          <a:off x="74295" y="53479065"/>
          <a:ext cx="306000" cy="306001"/>
          <a:chOff x="9191625" y="3009900"/>
          <a:chExt cx="324000" cy="325465"/>
        </a:xfrm>
      </xdr:grpSpPr>
      <xdr:sp macro="" textlink="">
        <xdr:nvSpPr>
          <xdr:cNvPr id="72" name="Rechteck 71">
            <a:extLst>
              <a:ext uri="{FF2B5EF4-FFF2-40B4-BE49-F238E27FC236}">
                <a16:creationId xmlns:a16="http://schemas.microsoft.com/office/drawing/2014/main" id="{00000000-0008-0000-2500-00004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3" name="Pfeil nach links 72">
            <a:extLst>
              <a:ext uri="{FF2B5EF4-FFF2-40B4-BE49-F238E27FC236}">
                <a16:creationId xmlns:a16="http://schemas.microsoft.com/office/drawing/2014/main" id="{00000000-0008-0000-2500-00004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292</xdr:row>
      <xdr:rowOff>9525</xdr:rowOff>
    </xdr:from>
    <xdr:to>
      <xdr:col>1</xdr:col>
      <xdr:colOff>372675</xdr:colOff>
      <xdr:row>293</xdr:row>
      <xdr:rowOff>10726</xdr:rowOff>
    </xdr:to>
    <xdr:grpSp>
      <xdr:nvGrpSpPr>
        <xdr:cNvPr id="74" name="Gruppieren 7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2500-00004A000000}"/>
            </a:ext>
          </a:extLst>
        </xdr:cNvPr>
        <xdr:cNvGrpSpPr>
          <a:grpSpLocks noChangeAspect="1"/>
        </xdr:cNvGrpSpPr>
      </xdr:nvGrpSpPr>
      <xdr:grpSpPr>
        <a:xfrm>
          <a:off x="74295" y="55734585"/>
          <a:ext cx="306000" cy="306001"/>
          <a:chOff x="9191625" y="3009900"/>
          <a:chExt cx="324000" cy="325465"/>
        </a:xfrm>
      </xdr:grpSpPr>
      <xdr:sp macro="" textlink="">
        <xdr:nvSpPr>
          <xdr:cNvPr id="75" name="Rechteck 74">
            <a:extLst>
              <a:ext uri="{FF2B5EF4-FFF2-40B4-BE49-F238E27FC236}">
                <a16:creationId xmlns:a16="http://schemas.microsoft.com/office/drawing/2014/main" id="{00000000-0008-0000-2500-00004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6" name="Pfeil nach links 75">
            <a:extLst>
              <a:ext uri="{FF2B5EF4-FFF2-40B4-BE49-F238E27FC236}">
                <a16:creationId xmlns:a16="http://schemas.microsoft.com/office/drawing/2014/main" id="{00000000-0008-0000-2500-00004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304</xdr:row>
      <xdr:rowOff>9525</xdr:rowOff>
    </xdr:from>
    <xdr:to>
      <xdr:col>1</xdr:col>
      <xdr:colOff>372675</xdr:colOff>
      <xdr:row>305</xdr:row>
      <xdr:rowOff>10724</xdr:rowOff>
    </xdr:to>
    <xdr:grpSp>
      <xdr:nvGrpSpPr>
        <xdr:cNvPr id="77" name="Gruppieren 76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2500-00004D000000}"/>
            </a:ext>
          </a:extLst>
        </xdr:cNvPr>
        <xdr:cNvGrpSpPr>
          <a:grpSpLocks noChangeAspect="1"/>
        </xdr:cNvGrpSpPr>
      </xdr:nvGrpSpPr>
      <xdr:grpSpPr>
        <a:xfrm>
          <a:off x="74295" y="57990105"/>
          <a:ext cx="306000" cy="305999"/>
          <a:chOff x="9191625" y="3009900"/>
          <a:chExt cx="324000" cy="325465"/>
        </a:xfrm>
      </xdr:grpSpPr>
      <xdr:sp macro="" textlink="">
        <xdr:nvSpPr>
          <xdr:cNvPr id="78" name="Rechteck 77">
            <a:extLst>
              <a:ext uri="{FF2B5EF4-FFF2-40B4-BE49-F238E27FC236}">
                <a16:creationId xmlns:a16="http://schemas.microsoft.com/office/drawing/2014/main" id="{00000000-0008-0000-2500-00004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9" name="Pfeil nach links 78">
            <a:extLst>
              <a:ext uri="{FF2B5EF4-FFF2-40B4-BE49-F238E27FC236}">
                <a16:creationId xmlns:a16="http://schemas.microsoft.com/office/drawing/2014/main" id="{00000000-0008-0000-2500-00004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316</xdr:row>
      <xdr:rowOff>9525</xdr:rowOff>
    </xdr:from>
    <xdr:to>
      <xdr:col>1</xdr:col>
      <xdr:colOff>372675</xdr:colOff>
      <xdr:row>317</xdr:row>
      <xdr:rowOff>10725</xdr:rowOff>
    </xdr:to>
    <xdr:grpSp>
      <xdr:nvGrpSpPr>
        <xdr:cNvPr id="80" name="Gruppieren 79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2500-000050000000}"/>
            </a:ext>
          </a:extLst>
        </xdr:cNvPr>
        <xdr:cNvGrpSpPr>
          <a:grpSpLocks noChangeAspect="1"/>
        </xdr:cNvGrpSpPr>
      </xdr:nvGrpSpPr>
      <xdr:grpSpPr>
        <a:xfrm>
          <a:off x="74295" y="60245625"/>
          <a:ext cx="306000" cy="306000"/>
          <a:chOff x="9191625" y="3009900"/>
          <a:chExt cx="324000" cy="325465"/>
        </a:xfrm>
      </xdr:grpSpPr>
      <xdr:sp macro="" textlink="">
        <xdr:nvSpPr>
          <xdr:cNvPr id="81" name="Rechteck 80">
            <a:extLst>
              <a:ext uri="{FF2B5EF4-FFF2-40B4-BE49-F238E27FC236}">
                <a16:creationId xmlns:a16="http://schemas.microsoft.com/office/drawing/2014/main" id="{00000000-0008-0000-2500-00005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2" name="Pfeil nach links 81">
            <a:extLst>
              <a:ext uri="{FF2B5EF4-FFF2-40B4-BE49-F238E27FC236}">
                <a16:creationId xmlns:a16="http://schemas.microsoft.com/office/drawing/2014/main" id="{00000000-0008-0000-2500-00005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328</xdr:row>
      <xdr:rowOff>9525</xdr:rowOff>
    </xdr:from>
    <xdr:to>
      <xdr:col>1</xdr:col>
      <xdr:colOff>372675</xdr:colOff>
      <xdr:row>329</xdr:row>
      <xdr:rowOff>10726</xdr:rowOff>
    </xdr:to>
    <xdr:grpSp>
      <xdr:nvGrpSpPr>
        <xdr:cNvPr id="83" name="Gruppieren 82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2500-000053000000}"/>
            </a:ext>
          </a:extLst>
        </xdr:cNvPr>
        <xdr:cNvGrpSpPr>
          <a:grpSpLocks noChangeAspect="1"/>
        </xdr:cNvGrpSpPr>
      </xdr:nvGrpSpPr>
      <xdr:grpSpPr>
        <a:xfrm>
          <a:off x="74295" y="62501145"/>
          <a:ext cx="306000" cy="306001"/>
          <a:chOff x="9191625" y="3009900"/>
          <a:chExt cx="324000" cy="325465"/>
        </a:xfrm>
      </xdr:grpSpPr>
      <xdr:sp macro="" textlink="">
        <xdr:nvSpPr>
          <xdr:cNvPr id="84" name="Rechteck 83">
            <a:extLst>
              <a:ext uri="{FF2B5EF4-FFF2-40B4-BE49-F238E27FC236}">
                <a16:creationId xmlns:a16="http://schemas.microsoft.com/office/drawing/2014/main" id="{00000000-0008-0000-2500-00005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5" name="Pfeil nach links 84">
            <a:extLst>
              <a:ext uri="{FF2B5EF4-FFF2-40B4-BE49-F238E27FC236}">
                <a16:creationId xmlns:a16="http://schemas.microsoft.com/office/drawing/2014/main" id="{00000000-0008-0000-2500-00005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340</xdr:row>
      <xdr:rowOff>9525</xdr:rowOff>
    </xdr:from>
    <xdr:to>
      <xdr:col>1</xdr:col>
      <xdr:colOff>372675</xdr:colOff>
      <xdr:row>341</xdr:row>
      <xdr:rowOff>10726</xdr:rowOff>
    </xdr:to>
    <xdr:grpSp>
      <xdr:nvGrpSpPr>
        <xdr:cNvPr id="86" name="Gruppieren 85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2500-000056000000}"/>
            </a:ext>
          </a:extLst>
        </xdr:cNvPr>
        <xdr:cNvGrpSpPr>
          <a:grpSpLocks noChangeAspect="1"/>
        </xdr:cNvGrpSpPr>
      </xdr:nvGrpSpPr>
      <xdr:grpSpPr>
        <a:xfrm>
          <a:off x="74295" y="64756665"/>
          <a:ext cx="306000" cy="306001"/>
          <a:chOff x="9191625" y="3009900"/>
          <a:chExt cx="324000" cy="325465"/>
        </a:xfrm>
      </xdr:grpSpPr>
      <xdr:sp macro="" textlink="">
        <xdr:nvSpPr>
          <xdr:cNvPr id="87" name="Rechteck 86">
            <a:extLst>
              <a:ext uri="{FF2B5EF4-FFF2-40B4-BE49-F238E27FC236}">
                <a16:creationId xmlns:a16="http://schemas.microsoft.com/office/drawing/2014/main" id="{00000000-0008-0000-2500-00005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8" name="Pfeil nach links 87">
            <a:extLst>
              <a:ext uri="{FF2B5EF4-FFF2-40B4-BE49-F238E27FC236}">
                <a16:creationId xmlns:a16="http://schemas.microsoft.com/office/drawing/2014/main" id="{00000000-0008-0000-2500-00005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352</xdr:row>
      <xdr:rowOff>9525</xdr:rowOff>
    </xdr:from>
    <xdr:to>
      <xdr:col>1</xdr:col>
      <xdr:colOff>372675</xdr:colOff>
      <xdr:row>353</xdr:row>
      <xdr:rowOff>10724</xdr:rowOff>
    </xdr:to>
    <xdr:grpSp>
      <xdr:nvGrpSpPr>
        <xdr:cNvPr id="89" name="Gruppieren 88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2500-000059000000}"/>
            </a:ext>
          </a:extLst>
        </xdr:cNvPr>
        <xdr:cNvGrpSpPr>
          <a:grpSpLocks noChangeAspect="1"/>
        </xdr:cNvGrpSpPr>
      </xdr:nvGrpSpPr>
      <xdr:grpSpPr>
        <a:xfrm>
          <a:off x="74295" y="67012185"/>
          <a:ext cx="306000" cy="305999"/>
          <a:chOff x="9191625" y="3009900"/>
          <a:chExt cx="324000" cy="325465"/>
        </a:xfrm>
      </xdr:grpSpPr>
      <xdr:sp macro="" textlink="">
        <xdr:nvSpPr>
          <xdr:cNvPr id="90" name="Rechteck 89">
            <a:extLst>
              <a:ext uri="{FF2B5EF4-FFF2-40B4-BE49-F238E27FC236}">
                <a16:creationId xmlns:a16="http://schemas.microsoft.com/office/drawing/2014/main" id="{00000000-0008-0000-2500-00005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1" name="Pfeil nach links 90">
            <a:extLst>
              <a:ext uri="{FF2B5EF4-FFF2-40B4-BE49-F238E27FC236}">
                <a16:creationId xmlns:a16="http://schemas.microsoft.com/office/drawing/2014/main" id="{00000000-0008-0000-2500-00005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364</xdr:row>
      <xdr:rowOff>9525</xdr:rowOff>
    </xdr:from>
    <xdr:to>
      <xdr:col>1</xdr:col>
      <xdr:colOff>372675</xdr:colOff>
      <xdr:row>365</xdr:row>
      <xdr:rowOff>10725</xdr:rowOff>
    </xdr:to>
    <xdr:grpSp>
      <xdr:nvGrpSpPr>
        <xdr:cNvPr id="92" name="Gruppieren 91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2500-00005C000000}"/>
            </a:ext>
          </a:extLst>
        </xdr:cNvPr>
        <xdr:cNvGrpSpPr>
          <a:grpSpLocks noChangeAspect="1"/>
        </xdr:cNvGrpSpPr>
      </xdr:nvGrpSpPr>
      <xdr:grpSpPr>
        <a:xfrm>
          <a:off x="74295" y="69267705"/>
          <a:ext cx="306000" cy="306000"/>
          <a:chOff x="9191625" y="3009900"/>
          <a:chExt cx="324000" cy="325465"/>
        </a:xfrm>
      </xdr:grpSpPr>
      <xdr:sp macro="" textlink="">
        <xdr:nvSpPr>
          <xdr:cNvPr id="93" name="Rechteck 92">
            <a:extLst>
              <a:ext uri="{FF2B5EF4-FFF2-40B4-BE49-F238E27FC236}">
                <a16:creationId xmlns:a16="http://schemas.microsoft.com/office/drawing/2014/main" id="{00000000-0008-0000-2500-00005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4" name="Pfeil nach links 93">
            <a:extLst>
              <a:ext uri="{FF2B5EF4-FFF2-40B4-BE49-F238E27FC236}">
                <a16:creationId xmlns:a16="http://schemas.microsoft.com/office/drawing/2014/main" id="{00000000-0008-0000-2500-00005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376</xdr:row>
      <xdr:rowOff>9525</xdr:rowOff>
    </xdr:from>
    <xdr:to>
      <xdr:col>1</xdr:col>
      <xdr:colOff>372675</xdr:colOff>
      <xdr:row>377</xdr:row>
      <xdr:rowOff>10726</xdr:rowOff>
    </xdr:to>
    <xdr:grpSp>
      <xdr:nvGrpSpPr>
        <xdr:cNvPr id="95" name="Gruppieren 94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2500-00005F000000}"/>
            </a:ext>
          </a:extLst>
        </xdr:cNvPr>
        <xdr:cNvGrpSpPr>
          <a:grpSpLocks noChangeAspect="1"/>
        </xdr:cNvGrpSpPr>
      </xdr:nvGrpSpPr>
      <xdr:grpSpPr>
        <a:xfrm>
          <a:off x="74295" y="71523225"/>
          <a:ext cx="306000" cy="306001"/>
          <a:chOff x="9191625" y="3009900"/>
          <a:chExt cx="324000" cy="325465"/>
        </a:xfrm>
      </xdr:grpSpPr>
      <xdr:sp macro="" textlink="">
        <xdr:nvSpPr>
          <xdr:cNvPr id="96" name="Rechteck 95">
            <a:extLst>
              <a:ext uri="{FF2B5EF4-FFF2-40B4-BE49-F238E27FC236}">
                <a16:creationId xmlns:a16="http://schemas.microsoft.com/office/drawing/2014/main" id="{00000000-0008-0000-2500-00006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7" name="Pfeil nach links 96">
            <a:extLst>
              <a:ext uri="{FF2B5EF4-FFF2-40B4-BE49-F238E27FC236}">
                <a16:creationId xmlns:a16="http://schemas.microsoft.com/office/drawing/2014/main" id="{00000000-0008-0000-2500-00006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388</xdr:row>
      <xdr:rowOff>9525</xdr:rowOff>
    </xdr:from>
    <xdr:to>
      <xdr:col>1</xdr:col>
      <xdr:colOff>372675</xdr:colOff>
      <xdr:row>389</xdr:row>
      <xdr:rowOff>10726</xdr:rowOff>
    </xdr:to>
    <xdr:grpSp>
      <xdr:nvGrpSpPr>
        <xdr:cNvPr id="98" name="Gruppieren 97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2500-000062000000}"/>
            </a:ext>
          </a:extLst>
        </xdr:cNvPr>
        <xdr:cNvGrpSpPr>
          <a:grpSpLocks noChangeAspect="1"/>
        </xdr:cNvGrpSpPr>
      </xdr:nvGrpSpPr>
      <xdr:grpSpPr>
        <a:xfrm>
          <a:off x="74295" y="73778745"/>
          <a:ext cx="306000" cy="306001"/>
          <a:chOff x="9191625" y="3009900"/>
          <a:chExt cx="324000" cy="325465"/>
        </a:xfrm>
      </xdr:grpSpPr>
      <xdr:sp macro="" textlink="">
        <xdr:nvSpPr>
          <xdr:cNvPr id="99" name="Rechteck 98">
            <a:extLst>
              <a:ext uri="{FF2B5EF4-FFF2-40B4-BE49-F238E27FC236}">
                <a16:creationId xmlns:a16="http://schemas.microsoft.com/office/drawing/2014/main" id="{00000000-0008-0000-2500-00006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0" name="Pfeil nach links 99">
            <a:extLst>
              <a:ext uri="{FF2B5EF4-FFF2-40B4-BE49-F238E27FC236}">
                <a16:creationId xmlns:a16="http://schemas.microsoft.com/office/drawing/2014/main" id="{00000000-0008-0000-2500-00006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400</xdr:row>
      <xdr:rowOff>9525</xdr:rowOff>
    </xdr:from>
    <xdr:to>
      <xdr:col>1</xdr:col>
      <xdr:colOff>372675</xdr:colOff>
      <xdr:row>401</xdr:row>
      <xdr:rowOff>10724</xdr:rowOff>
    </xdr:to>
    <xdr:grpSp>
      <xdr:nvGrpSpPr>
        <xdr:cNvPr id="101" name="Gruppieren 100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2500-000065000000}"/>
            </a:ext>
          </a:extLst>
        </xdr:cNvPr>
        <xdr:cNvGrpSpPr>
          <a:grpSpLocks noChangeAspect="1"/>
        </xdr:cNvGrpSpPr>
      </xdr:nvGrpSpPr>
      <xdr:grpSpPr>
        <a:xfrm>
          <a:off x="74295" y="76034265"/>
          <a:ext cx="306000" cy="305999"/>
          <a:chOff x="9191625" y="3009900"/>
          <a:chExt cx="324000" cy="325465"/>
        </a:xfrm>
      </xdr:grpSpPr>
      <xdr:sp macro="" textlink="">
        <xdr:nvSpPr>
          <xdr:cNvPr id="102" name="Rechteck 101">
            <a:extLst>
              <a:ext uri="{FF2B5EF4-FFF2-40B4-BE49-F238E27FC236}">
                <a16:creationId xmlns:a16="http://schemas.microsoft.com/office/drawing/2014/main" id="{00000000-0008-0000-2500-00006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3" name="Pfeil nach links 102">
            <a:extLst>
              <a:ext uri="{FF2B5EF4-FFF2-40B4-BE49-F238E27FC236}">
                <a16:creationId xmlns:a16="http://schemas.microsoft.com/office/drawing/2014/main" id="{00000000-0008-0000-2500-00006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412</xdr:row>
      <xdr:rowOff>9525</xdr:rowOff>
    </xdr:from>
    <xdr:to>
      <xdr:col>1</xdr:col>
      <xdr:colOff>372675</xdr:colOff>
      <xdr:row>413</xdr:row>
      <xdr:rowOff>10725</xdr:rowOff>
    </xdr:to>
    <xdr:grpSp>
      <xdr:nvGrpSpPr>
        <xdr:cNvPr id="104" name="Gruppieren 103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2500-000068000000}"/>
            </a:ext>
          </a:extLst>
        </xdr:cNvPr>
        <xdr:cNvGrpSpPr>
          <a:grpSpLocks noChangeAspect="1"/>
        </xdr:cNvGrpSpPr>
      </xdr:nvGrpSpPr>
      <xdr:grpSpPr>
        <a:xfrm>
          <a:off x="74295" y="78289785"/>
          <a:ext cx="306000" cy="306000"/>
          <a:chOff x="9191625" y="3009900"/>
          <a:chExt cx="324000" cy="325465"/>
        </a:xfrm>
      </xdr:grpSpPr>
      <xdr:sp macro="" textlink="">
        <xdr:nvSpPr>
          <xdr:cNvPr id="105" name="Rechteck 104">
            <a:extLst>
              <a:ext uri="{FF2B5EF4-FFF2-40B4-BE49-F238E27FC236}">
                <a16:creationId xmlns:a16="http://schemas.microsoft.com/office/drawing/2014/main" id="{00000000-0008-0000-2500-00006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6" name="Pfeil nach links 105">
            <a:extLst>
              <a:ext uri="{FF2B5EF4-FFF2-40B4-BE49-F238E27FC236}">
                <a16:creationId xmlns:a16="http://schemas.microsoft.com/office/drawing/2014/main" id="{00000000-0008-0000-2500-00006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424</xdr:row>
      <xdr:rowOff>9525</xdr:rowOff>
    </xdr:from>
    <xdr:to>
      <xdr:col>1</xdr:col>
      <xdr:colOff>372675</xdr:colOff>
      <xdr:row>425</xdr:row>
      <xdr:rowOff>10726</xdr:rowOff>
    </xdr:to>
    <xdr:grpSp>
      <xdr:nvGrpSpPr>
        <xdr:cNvPr id="107" name="Gruppieren 106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0000000-0008-0000-2500-00006B000000}"/>
            </a:ext>
          </a:extLst>
        </xdr:cNvPr>
        <xdr:cNvGrpSpPr>
          <a:grpSpLocks noChangeAspect="1"/>
        </xdr:cNvGrpSpPr>
      </xdr:nvGrpSpPr>
      <xdr:grpSpPr>
        <a:xfrm>
          <a:off x="74295" y="80545305"/>
          <a:ext cx="306000" cy="306001"/>
          <a:chOff x="9191625" y="3009900"/>
          <a:chExt cx="324000" cy="325465"/>
        </a:xfrm>
      </xdr:grpSpPr>
      <xdr:sp macro="" textlink="">
        <xdr:nvSpPr>
          <xdr:cNvPr id="108" name="Rechteck 107">
            <a:extLst>
              <a:ext uri="{FF2B5EF4-FFF2-40B4-BE49-F238E27FC236}">
                <a16:creationId xmlns:a16="http://schemas.microsoft.com/office/drawing/2014/main" id="{00000000-0008-0000-2500-00006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9" name="Pfeil nach links 108">
            <a:extLst>
              <a:ext uri="{FF2B5EF4-FFF2-40B4-BE49-F238E27FC236}">
                <a16:creationId xmlns:a16="http://schemas.microsoft.com/office/drawing/2014/main" id="{00000000-0008-0000-2500-00006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436</xdr:row>
      <xdr:rowOff>9525</xdr:rowOff>
    </xdr:from>
    <xdr:to>
      <xdr:col>1</xdr:col>
      <xdr:colOff>372675</xdr:colOff>
      <xdr:row>437</xdr:row>
      <xdr:rowOff>10726</xdr:rowOff>
    </xdr:to>
    <xdr:grpSp>
      <xdr:nvGrpSpPr>
        <xdr:cNvPr id="110" name="Gruppieren 109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2500-00006E000000}"/>
            </a:ext>
          </a:extLst>
        </xdr:cNvPr>
        <xdr:cNvGrpSpPr>
          <a:grpSpLocks noChangeAspect="1"/>
        </xdr:cNvGrpSpPr>
      </xdr:nvGrpSpPr>
      <xdr:grpSpPr>
        <a:xfrm>
          <a:off x="74295" y="82800825"/>
          <a:ext cx="306000" cy="306001"/>
          <a:chOff x="9191625" y="3009900"/>
          <a:chExt cx="324000" cy="325465"/>
        </a:xfrm>
      </xdr:grpSpPr>
      <xdr:sp macro="" textlink="">
        <xdr:nvSpPr>
          <xdr:cNvPr id="111" name="Rechteck 110">
            <a:extLst>
              <a:ext uri="{FF2B5EF4-FFF2-40B4-BE49-F238E27FC236}">
                <a16:creationId xmlns:a16="http://schemas.microsoft.com/office/drawing/2014/main" id="{00000000-0008-0000-2500-00006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2" name="Pfeil nach links 111">
            <a:extLst>
              <a:ext uri="{FF2B5EF4-FFF2-40B4-BE49-F238E27FC236}">
                <a16:creationId xmlns:a16="http://schemas.microsoft.com/office/drawing/2014/main" id="{00000000-0008-0000-2500-00007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448</xdr:row>
      <xdr:rowOff>9525</xdr:rowOff>
    </xdr:from>
    <xdr:to>
      <xdr:col>1</xdr:col>
      <xdr:colOff>372675</xdr:colOff>
      <xdr:row>449</xdr:row>
      <xdr:rowOff>10724</xdr:rowOff>
    </xdr:to>
    <xdr:grpSp>
      <xdr:nvGrpSpPr>
        <xdr:cNvPr id="113" name="Gruppieren 112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2500-000071000000}"/>
            </a:ext>
          </a:extLst>
        </xdr:cNvPr>
        <xdr:cNvGrpSpPr>
          <a:grpSpLocks noChangeAspect="1"/>
        </xdr:cNvGrpSpPr>
      </xdr:nvGrpSpPr>
      <xdr:grpSpPr>
        <a:xfrm>
          <a:off x="74295" y="85056345"/>
          <a:ext cx="306000" cy="305999"/>
          <a:chOff x="9191625" y="3009900"/>
          <a:chExt cx="324000" cy="325465"/>
        </a:xfrm>
      </xdr:grpSpPr>
      <xdr:sp macro="" textlink="">
        <xdr:nvSpPr>
          <xdr:cNvPr id="114" name="Rechteck 113">
            <a:extLst>
              <a:ext uri="{FF2B5EF4-FFF2-40B4-BE49-F238E27FC236}">
                <a16:creationId xmlns:a16="http://schemas.microsoft.com/office/drawing/2014/main" id="{00000000-0008-0000-2500-00007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5" name="Pfeil nach links 114">
            <a:extLst>
              <a:ext uri="{FF2B5EF4-FFF2-40B4-BE49-F238E27FC236}">
                <a16:creationId xmlns:a16="http://schemas.microsoft.com/office/drawing/2014/main" id="{00000000-0008-0000-2500-00007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460</xdr:row>
      <xdr:rowOff>9525</xdr:rowOff>
    </xdr:from>
    <xdr:to>
      <xdr:col>1</xdr:col>
      <xdr:colOff>372675</xdr:colOff>
      <xdr:row>461</xdr:row>
      <xdr:rowOff>10725</xdr:rowOff>
    </xdr:to>
    <xdr:grpSp>
      <xdr:nvGrpSpPr>
        <xdr:cNvPr id="116" name="Gruppieren 115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2500-000074000000}"/>
            </a:ext>
          </a:extLst>
        </xdr:cNvPr>
        <xdr:cNvGrpSpPr>
          <a:grpSpLocks noChangeAspect="1"/>
        </xdr:cNvGrpSpPr>
      </xdr:nvGrpSpPr>
      <xdr:grpSpPr>
        <a:xfrm>
          <a:off x="74295" y="87311865"/>
          <a:ext cx="306000" cy="306000"/>
          <a:chOff x="9191625" y="3009900"/>
          <a:chExt cx="324000" cy="325465"/>
        </a:xfrm>
      </xdr:grpSpPr>
      <xdr:sp macro="" textlink="">
        <xdr:nvSpPr>
          <xdr:cNvPr id="117" name="Rechteck 116">
            <a:extLst>
              <a:ext uri="{FF2B5EF4-FFF2-40B4-BE49-F238E27FC236}">
                <a16:creationId xmlns:a16="http://schemas.microsoft.com/office/drawing/2014/main" id="{00000000-0008-0000-2500-00007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8" name="Pfeil nach links 117">
            <a:extLst>
              <a:ext uri="{FF2B5EF4-FFF2-40B4-BE49-F238E27FC236}">
                <a16:creationId xmlns:a16="http://schemas.microsoft.com/office/drawing/2014/main" id="{00000000-0008-0000-2500-00007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472</xdr:row>
      <xdr:rowOff>9525</xdr:rowOff>
    </xdr:from>
    <xdr:to>
      <xdr:col>1</xdr:col>
      <xdr:colOff>372675</xdr:colOff>
      <xdr:row>473</xdr:row>
      <xdr:rowOff>10726</xdr:rowOff>
    </xdr:to>
    <xdr:grpSp>
      <xdr:nvGrpSpPr>
        <xdr:cNvPr id="119" name="Gruppieren 118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00000000-0008-0000-2500-000077000000}"/>
            </a:ext>
          </a:extLst>
        </xdr:cNvPr>
        <xdr:cNvGrpSpPr>
          <a:grpSpLocks noChangeAspect="1"/>
        </xdr:cNvGrpSpPr>
      </xdr:nvGrpSpPr>
      <xdr:grpSpPr>
        <a:xfrm>
          <a:off x="74295" y="89567385"/>
          <a:ext cx="306000" cy="306001"/>
          <a:chOff x="9191625" y="3009900"/>
          <a:chExt cx="324000" cy="325465"/>
        </a:xfrm>
      </xdr:grpSpPr>
      <xdr:sp macro="" textlink="">
        <xdr:nvSpPr>
          <xdr:cNvPr id="120" name="Rechteck 119">
            <a:extLst>
              <a:ext uri="{FF2B5EF4-FFF2-40B4-BE49-F238E27FC236}">
                <a16:creationId xmlns:a16="http://schemas.microsoft.com/office/drawing/2014/main" id="{00000000-0008-0000-2500-00007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1" name="Pfeil nach links 120">
            <a:extLst>
              <a:ext uri="{FF2B5EF4-FFF2-40B4-BE49-F238E27FC236}">
                <a16:creationId xmlns:a16="http://schemas.microsoft.com/office/drawing/2014/main" id="{00000000-0008-0000-2500-00007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5</xdr:col>
      <xdr:colOff>104775</xdr:colOff>
      <xdr:row>1</xdr:row>
      <xdr:rowOff>57150</xdr:rowOff>
    </xdr:from>
    <xdr:to>
      <xdr:col>6</xdr:col>
      <xdr:colOff>10875</xdr:colOff>
      <xdr:row>2</xdr:row>
      <xdr:rowOff>29925</xdr:rowOff>
    </xdr:to>
    <xdr:grpSp>
      <xdr:nvGrpSpPr>
        <xdr:cNvPr id="123" name="Gruppieren 122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2500-00007B000000}"/>
            </a:ext>
          </a:extLst>
        </xdr:cNvPr>
        <xdr:cNvGrpSpPr/>
      </xdr:nvGrpSpPr>
      <xdr:grpSpPr>
        <a:xfrm>
          <a:off x="7778115" y="628650"/>
          <a:ext cx="180420" cy="170895"/>
          <a:chOff x="8105775" y="571500"/>
          <a:chExt cx="172800" cy="172800"/>
        </a:xfrm>
      </xdr:grpSpPr>
      <xdr:sp macro="" textlink="">
        <xdr:nvSpPr>
          <xdr:cNvPr id="124" name="Rechteck 123">
            <a:extLst>
              <a:ext uri="{FF2B5EF4-FFF2-40B4-BE49-F238E27FC236}">
                <a16:creationId xmlns:a16="http://schemas.microsoft.com/office/drawing/2014/main" id="{00000000-0008-0000-2500-00007C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5" name="Textfeld 124">
            <a:extLst>
              <a:ext uri="{FF2B5EF4-FFF2-40B4-BE49-F238E27FC236}">
                <a16:creationId xmlns:a16="http://schemas.microsoft.com/office/drawing/2014/main" id="{00000000-0008-0000-2500-00007D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1485900</xdr:colOff>
          <xdr:row>0</xdr:row>
          <xdr:rowOff>19050</xdr:rowOff>
        </xdr:from>
        <xdr:to>
          <xdr:col>5</xdr:col>
          <xdr:colOff>264795</xdr:colOff>
          <xdr:row>0</xdr:row>
          <xdr:rowOff>552450</xdr:rowOff>
        </xdr:to>
        <xdr:pic>
          <xdr:nvPicPr>
            <xdr:cNvPr id="126" name="Grafik 59">
              <a:extLst>
                <a:ext uri="{FF2B5EF4-FFF2-40B4-BE49-F238E27FC236}">
                  <a16:creationId xmlns:a16="http://schemas.microsoft.com/office/drawing/2014/main" id="{00000000-0008-0000-2500-00007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45781"/>
                </a:ext>
              </a:extLst>
            </xdr:cNvPicPr>
          </xdr:nvPicPr>
          <xdr:blipFill>
            <a:blip xmlns:r="http://schemas.openxmlformats.org/officeDocument/2006/relationships" r:embed="rId42"/>
            <a:srcRect/>
            <a:stretch>
              <a:fillRect/>
            </a:stretch>
          </xdr:blipFill>
          <xdr:spPr bwMode="auto">
            <a:xfrm>
              <a:off x="5514975" y="19050"/>
              <a:ext cx="2207895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0</xdr:col>
      <xdr:colOff>419250</xdr:colOff>
      <xdr:row>2</xdr:row>
      <xdr:rowOff>64480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GrpSpPr/>
      </xdr:nvGrpSpPr>
      <xdr:grpSpPr>
        <a:xfrm>
          <a:off x="95250" y="104775"/>
          <a:ext cx="324000" cy="32546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26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6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653414</xdr:colOff>
      <xdr:row>5</xdr:row>
      <xdr:rowOff>142876</xdr:rowOff>
    </xdr:from>
    <xdr:to>
      <xdr:col>3</xdr:col>
      <xdr:colOff>2146832</xdr:colOff>
      <xdr:row>5</xdr:row>
      <xdr:rowOff>392524</xdr:rowOff>
    </xdr:to>
    <xdr:pic>
      <xdr:nvPicPr>
        <xdr:cNvPr id="5" name="Grafik 6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4564" y="1019176"/>
          <a:ext cx="1493418" cy="2496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erge\Dropbox\@fileswork\@iManagement\03_ProjectManag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"/>
      <sheetName val="Projektmgmt"/>
      <sheetName val="Projektauftrag"/>
      <sheetName val="Grobplan"/>
      <sheetName val="Detailplan"/>
      <sheetName val="Detailplan_Uebersicht"/>
      <sheetName val="Projektstand"/>
      <sheetName val="Projektabschluss"/>
      <sheetName val="Projektteam"/>
      <sheetName val="Adresses"/>
      <sheetName val="Organigramm"/>
      <sheetName val="Sitzungen"/>
      <sheetName val="Projektbudget"/>
      <sheetName val="Grobkonzept"/>
      <sheetName val="Detailkonzept"/>
      <sheetName val="Projektcontrolling"/>
      <sheetName val="Notizen"/>
      <sheetName val="Swot-Analyse"/>
      <sheetName val="Risikomgmt"/>
      <sheetName val="Kommunikation"/>
      <sheetName val="Machbarkeit"/>
      <sheetName val="Fishbone"/>
      <sheetName val="Kalender"/>
      <sheetName val="Help"/>
      <sheetName val="Logo"/>
    </sheetNames>
    <sheetDataSet>
      <sheetData sheetId="0">
        <row r="4">
          <cell r="Z4">
            <v>69763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Design1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100" baseline="0"/>
        </a:defPPr>
      </a:lstStyle>
      <a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a:style>
    </a:spDef>
    <a:lnDef>
      <a:spPr>
        <a:ln>
          <a:solidFill>
            <a:schemeClr val="tx2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63" Type="http://schemas.openxmlformats.org/officeDocument/2006/relationships/ctrlProp" Target="../ctrlProps/ctrlProp61.xml"/><Relationship Id="rId84" Type="http://schemas.openxmlformats.org/officeDocument/2006/relationships/ctrlProp" Target="../ctrlProps/ctrlProp82.xml"/><Relationship Id="rId138" Type="http://schemas.openxmlformats.org/officeDocument/2006/relationships/ctrlProp" Target="../ctrlProps/ctrlProp136.xml"/><Relationship Id="rId159" Type="http://schemas.openxmlformats.org/officeDocument/2006/relationships/ctrlProp" Target="../ctrlProps/ctrlProp157.xml"/><Relationship Id="rId170" Type="http://schemas.openxmlformats.org/officeDocument/2006/relationships/ctrlProp" Target="../ctrlProps/ctrlProp168.xml"/><Relationship Id="rId191" Type="http://schemas.openxmlformats.org/officeDocument/2006/relationships/ctrlProp" Target="../ctrlProps/ctrlProp189.xml"/><Relationship Id="rId205" Type="http://schemas.openxmlformats.org/officeDocument/2006/relationships/ctrlProp" Target="../ctrlProps/ctrlProp203.xml"/><Relationship Id="rId226" Type="http://schemas.openxmlformats.org/officeDocument/2006/relationships/ctrlProp" Target="../ctrlProps/ctrlProp22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53" Type="http://schemas.openxmlformats.org/officeDocument/2006/relationships/ctrlProp" Target="../ctrlProps/ctrlProp51.xml"/><Relationship Id="rId74" Type="http://schemas.openxmlformats.org/officeDocument/2006/relationships/ctrlProp" Target="../ctrlProps/ctrlProp72.xml"/><Relationship Id="rId128" Type="http://schemas.openxmlformats.org/officeDocument/2006/relationships/ctrlProp" Target="../ctrlProps/ctrlProp126.xml"/><Relationship Id="rId149" Type="http://schemas.openxmlformats.org/officeDocument/2006/relationships/ctrlProp" Target="../ctrlProps/ctrlProp147.xml"/><Relationship Id="rId5" Type="http://schemas.openxmlformats.org/officeDocument/2006/relationships/ctrlProp" Target="../ctrlProps/ctrlProp3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181" Type="http://schemas.openxmlformats.org/officeDocument/2006/relationships/ctrlProp" Target="../ctrlProps/ctrlProp179.xml"/><Relationship Id="rId216" Type="http://schemas.openxmlformats.org/officeDocument/2006/relationships/ctrlProp" Target="../ctrlProps/ctrlProp214.xml"/><Relationship Id="rId237" Type="http://schemas.openxmlformats.org/officeDocument/2006/relationships/ctrlProp" Target="../ctrlProps/ctrlProp235.xml"/><Relationship Id="rId22" Type="http://schemas.openxmlformats.org/officeDocument/2006/relationships/ctrlProp" Target="../ctrlProps/ctrlProp20.xml"/><Relationship Id="rId43" Type="http://schemas.openxmlformats.org/officeDocument/2006/relationships/ctrlProp" Target="../ctrlProps/ctrlProp41.xml"/><Relationship Id="rId64" Type="http://schemas.openxmlformats.org/officeDocument/2006/relationships/ctrlProp" Target="../ctrlProps/ctrlProp62.xml"/><Relationship Id="rId118" Type="http://schemas.openxmlformats.org/officeDocument/2006/relationships/ctrlProp" Target="../ctrlProps/ctrlProp116.xml"/><Relationship Id="rId139" Type="http://schemas.openxmlformats.org/officeDocument/2006/relationships/ctrlProp" Target="../ctrlProps/ctrlProp137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71" Type="http://schemas.openxmlformats.org/officeDocument/2006/relationships/ctrlProp" Target="../ctrlProps/ctrlProp169.xml"/><Relationship Id="rId192" Type="http://schemas.openxmlformats.org/officeDocument/2006/relationships/ctrlProp" Target="../ctrlProps/ctrlProp190.xml"/><Relationship Id="rId206" Type="http://schemas.openxmlformats.org/officeDocument/2006/relationships/ctrlProp" Target="../ctrlProps/ctrlProp204.xml"/><Relationship Id="rId227" Type="http://schemas.openxmlformats.org/officeDocument/2006/relationships/ctrlProp" Target="../ctrlProps/ctrlProp225.xml"/><Relationship Id="rId12" Type="http://schemas.openxmlformats.org/officeDocument/2006/relationships/ctrlProp" Target="../ctrlProps/ctrlProp10.xml"/><Relationship Id="rId33" Type="http://schemas.openxmlformats.org/officeDocument/2006/relationships/ctrlProp" Target="../ctrlProps/ctrlProp31.xml"/><Relationship Id="rId108" Type="http://schemas.openxmlformats.org/officeDocument/2006/relationships/ctrlProp" Target="../ctrlProps/ctrlProp106.xml"/><Relationship Id="rId129" Type="http://schemas.openxmlformats.org/officeDocument/2006/relationships/ctrlProp" Target="../ctrlProps/ctrlProp127.xml"/><Relationship Id="rId54" Type="http://schemas.openxmlformats.org/officeDocument/2006/relationships/ctrlProp" Target="../ctrlProps/ctrlProp52.xml"/><Relationship Id="rId75" Type="http://schemas.openxmlformats.org/officeDocument/2006/relationships/ctrlProp" Target="../ctrlProps/ctrlProp73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61" Type="http://schemas.openxmlformats.org/officeDocument/2006/relationships/ctrlProp" Target="../ctrlProps/ctrlProp159.xml"/><Relationship Id="rId182" Type="http://schemas.openxmlformats.org/officeDocument/2006/relationships/ctrlProp" Target="../ctrlProps/ctrlProp180.xml"/><Relationship Id="rId217" Type="http://schemas.openxmlformats.org/officeDocument/2006/relationships/ctrlProp" Target="../ctrlProps/ctrlProp215.xml"/><Relationship Id="rId6" Type="http://schemas.openxmlformats.org/officeDocument/2006/relationships/ctrlProp" Target="../ctrlProps/ctrlProp4.xml"/><Relationship Id="rId238" Type="http://schemas.openxmlformats.org/officeDocument/2006/relationships/ctrlProp" Target="../ctrlProps/ctrlProp236.xml"/><Relationship Id="rId23" Type="http://schemas.openxmlformats.org/officeDocument/2006/relationships/ctrlProp" Target="../ctrlProps/ctrlProp21.xml"/><Relationship Id="rId119" Type="http://schemas.openxmlformats.org/officeDocument/2006/relationships/ctrlProp" Target="../ctrlProps/ctrlProp117.xml"/><Relationship Id="rId44" Type="http://schemas.openxmlformats.org/officeDocument/2006/relationships/ctrlProp" Target="../ctrlProps/ctrlProp42.xml"/><Relationship Id="rId65" Type="http://schemas.openxmlformats.org/officeDocument/2006/relationships/ctrlProp" Target="../ctrlProps/ctrlProp63.xml"/><Relationship Id="rId86" Type="http://schemas.openxmlformats.org/officeDocument/2006/relationships/ctrlProp" Target="../ctrlProps/ctrlProp84.xml"/><Relationship Id="rId130" Type="http://schemas.openxmlformats.org/officeDocument/2006/relationships/ctrlProp" Target="../ctrlProps/ctrlProp128.xml"/><Relationship Id="rId151" Type="http://schemas.openxmlformats.org/officeDocument/2006/relationships/ctrlProp" Target="../ctrlProps/ctrlProp149.xml"/><Relationship Id="rId172" Type="http://schemas.openxmlformats.org/officeDocument/2006/relationships/ctrlProp" Target="../ctrlProps/ctrlProp170.xml"/><Relationship Id="rId193" Type="http://schemas.openxmlformats.org/officeDocument/2006/relationships/ctrlProp" Target="../ctrlProps/ctrlProp191.xml"/><Relationship Id="rId207" Type="http://schemas.openxmlformats.org/officeDocument/2006/relationships/ctrlProp" Target="../ctrlProps/ctrlProp205.xml"/><Relationship Id="rId228" Type="http://schemas.openxmlformats.org/officeDocument/2006/relationships/ctrlProp" Target="../ctrlProps/ctrlProp226.xml"/><Relationship Id="rId13" Type="http://schemas.openxmlformats.org/officeDocument/2006/relationships/ctrlProp" Target="../ctrlProps/ctrlProp11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20" Type="http://schemas.openxmlformats.org/officeDocument/2006/relationships/ctrlProp" Target="../ctrlProps/ctrlProp118.xml"/><Relationship Id="rId141" Type="http://schemas.openxmlformats.org/officeDocument/2006/relationships/ctrlProp" Target="../ctrlProps/ctrlProp139.xml"/><Relationship Id="rId7" Type="http://schemas.openxmlformats.org/officeDocument/2006/relationships/ctrlProp" Target="../ctrlProps/ctrlProp5.xml"/><Relationship Id="rId162" Type="http://schemas.openxmlformats.org/officeDocument/2006/relationships/ctrlProp" Target="../ctrlProps/ctrlProp160.xml"/><Relationship Id="rId183" Type="http://schemas.openxmlformats.org/officeDocument/2006/relationships/ctrlProp" Target="../ctrlProps/ctrlProp181.xml"/><Relationship Id="rId218" Type="http://schemas.openxmlformats.org/officeDocument/2006/relationships/ctrlProp" Target="../ctrlProps/ctrlProp216.xml"/><Relationship Id="rId239" Type="http://schemas.openxmlformats.org/officeDocument/2006/relationships/ctrlProp" Target="../ctrlProps/ctrlProp237.xml"/><Relationship Id="rId24" Type="http://schemas.openxmlformats.org/officeDocument/2006/relationships/ctrlProp" Target="../ctrlProps/ctrlProp22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31" Type="http://schemas.openxmlformats.org/officeDocument/2006/relationships/ctrlProp" Target="../ctrlProps/ctrlProp129.xml"/><Relationship Id="rId152" Type="http://schemas.openxmlformats.org/officeDocument/2006/relationships/ctrlProp" Target="../ctrlProps/ctrlProp150.xml"/><Relationship Id="rId173" Type="http://schemas.openxmlformats.org/officeDocument/2006/relationships/ctrlProp" Target="../ctrlProps/ctrlProp171.xml"/><Relationship Id="rId194" Type="http://schemas.openxmlformats.org/officeDocument/2006/relationships/ctrlProp" Target="../ctrlProps/ctrlProp192.xml"/><Relationship Id="rId208" Type="http://schemas.openxmlformats.org/officeDocument/2006/relationships/ctrlProp" Target="../ctrlProps/ctrlProp206.xml"/><Relationship Id="rId229" Type="http://schemas.openxmlformats.org/officeDocument/2006/relationships/ctrlProp" Target="../ctrlProps/ctrlProp227.xml"/><Relationship Id="rId14" Type="http://schemas.openxmlformats.org/officeDocument/2006/relationships/ctrlProp" Target="../ctrlProps/ctrlProp12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8" Type="http://schemas.openxmlformats.org/officeDocument/2006/relationships/ctrlProp" Target="../ctrlProps/ctrlProp6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184" Type="http://schemas.openxmlformats.org/officeDocument/2006/relationships/ctrlProp" Target="../ctrlProps/ctrlProp182.xml"/><Relationship Id="rId219" Type="http://schemas.openxmlformats.org/officeDocument/2006/relationships/ctrlProp" Target="../ctrlProps/ctrlProp217.xml"/><Relationship Id="rId230" Type="http://schemas.openxmlformats.org/officeDocument/2006/relationships/ctrlProp" Target="../ctrlProps/ctrlProp228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Relationship Id="rId174" Type="http://schemas.openxmlformats.org/officeDocument/2006/relationships/ctrlProp" Target="../ctrlProps/ctrlProp172.xml"/><Relationship Id="rId195" Type="http://schemas.openxmlformats.org/officeDocument/2006/relationships/ctrlProp" Target="../ctrlProps/ctrlProp193.xml"/><Relationship Id="rId209" Type="http://schemas.openxmlformats.org/officeDocument/2006/relationships/ctrlProp" Target="../ctrlProps/ctrlProp207.xml"/><Relationship Id="rId190" Type="http://schemas.openxmlformats.org/officeDocument/2006/relationships/ctrlProp" Target="../ctrlProps/ctrlProp188.xml"/><Relationship Id="rId204" Type="http://schemas.openxmlformats.org/officeDocument/2006/relationships/ctrlProp" Target="../ctrlProps/ctrlProp202.xml"/><Relationship Id="rId220" Type="http://schemas.openxmlformats.org/officeDocument/2006/relationships/ctrlProp" Target="../ctrlProps/ctrlProp218.xml"/><Relationship Id="rId225" Type="http://schemas.openxmlformats.org/officeDocument/2006/relationships/ctrlProp" Target="../ctrlProps/ctrlProp223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64" Type="http://schemas.openxmlformats.org/officeDocument/2006/relationships/ctrlProp" Target="../ctrlProps/ctrlProp162.xml"/><Relationship Id="rId169" Type="http://schemas.openxmlformats.org/officeDocument/2006/relationships/ctrlProp" Target="../ctrlProps/ctrlProp167.xml"/><Relationship Id="rId185" Type="http://schemas.openxmlformats.org/officeDocument/2006/relationships/ctrlProp" Target="../ctrlProps/ctrlProp18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80" Type="http://schemas.openxmlformats.org/officeDocument/2006/relationships/ctrlProp" Target="../ctrlProps/ctrlProp178.xml"/><Relationship Id="rId210" Type="http://schemas.openxmlformats.org/officeDocument/2006/relationships/ctrlProp" Target="../ctrlProps/ctrlProp208.xml"/><Relationship Id="rId215" Type="http://schemas.openxmlformats.org/officeDocument/2006/relationships/ctrlProp" Target="../ctrlProps/ctrlProp213.xml"/><Relationship Id="rId236" Type="http://schemas.openxmlformats.org/officeDocument/2006/relationships/ctrlProp" Target="../ctrlProps/ctrlProp234.xml"/><Relationship Id="rId26" Type="http://schemas.openxmlformats.org/officeDocument/2006/relationships/ctrlProp" Target="../ctrlProps/ctrlProp24.xml"/><Relationship Id="rId231" Type="http://schemas.openxmlformats.org/officeDocument/2006/relationships/ctrlProp" Target="../ctrlProps/ctrlProp229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54" Type="http://schemas.openxmlformats.org/officeDocument/2006/relationships/ctrlProp" Target="../ctrlProps/ctrlProp152.xml"/><Relationship Id="rId175" Type="http://schemas.openxmlformats.org/officeDocument/2006/relationships/ctrlProp" Target="../ctrlProps/ctrlProp173.xml"/><Relationship Id="rId196" Type="http://schemas.openxmlformats.org/officeDocument/2006/relationships/ctrlProp" Target="../ctrlProps/ctrlProp194.xml"/><Relationship Id="rId200" Type="http://schemas.openxmlformats.org/officeDocument/2006/relationships/ctrlProp" Target="../ctrlProps/ctrlProp198.xml"/><Relationship Id="rId16" Type="http://schemas.openxmlformats.org/officeDocument/2006/relationships/ctrlProp" Target="../ctrlProps/ctrlProp14.xml"/><Relationship Id="rId221" Type="http://schemas.openxmlformats.org/officeDocument/2006/relationships/ctrlProp" Target="../ctrlProps/ctrlProp219.xml"/><Relationship Id="rId37" Type="http://schemas.openxmlformats.org/officeDocument/2006/relationships/ctrlProp" Target="../ctrlProps/ctrlProp35.xml"/><Relationship Id="rId58" Type="http://schemas.openxmlformats.org/officeDocument/2006/relationships/ctrlProp" Target="../ctrlProps/ctrlProp56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44" Type="http://schemas.openxmlformats.org/officeDocument/2006/relationships/ctrlProp" Target="../ctrlProps/ctrlProp142.xml"/><Relationship Id="rId90" Type="http://schemas.openxmlformats.org/officeDocument/2006/relationships/ctrlProp" Target="../ctrlProps/ctrlProp88.xml"/><Relationship Id="rId165" Type="http://schemas.openxmlformats.org/officeDocument/2006/relationships/ctrlProp" Target="../ctrlProps/ctrlProp163.xml"/><Relationship Id="rId186" Type="http://schemas.openxmlformats.org/officeDocument/2006/relationships/ctrlProp" Target="../ctrlProps/ctrlProp184.xml"/><Relationship Id="rId211" Type="http://schemas.openxmlformats.org/officeDocument/2006/relationships/ctrlProp" Target="../ctrlProps/ctrlProp209.xml"/><Relationship Id="rId232" Type="http://schemas.openxmlformats.org/officeDocument/2006/relationships/ctrlProp" Target="../ctrlProps/ctrlProp230.xml"/><Relationship Id="rId27" Type="http://schemas.openxmlformats.org/officeDocument/2006/relationships/ctrlProp" Target="../ctrlProps/ctrlProp25.xml"/><Relationship Id="rId48" Type="http://schemas.openxmlformats.org/officeDocument/2006/relationships/ctrlProp" Target="../ctrlProps/ctrlProp46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155" Type="http://schemas.openxmlformats.org/officeDocument/2006/relationships/ctrlProp" Target="../ctrlProps/ctrlProp153.xml"/><Relationship Id="rId176" Type="http://schemas.openxmlformats.org/officeDocument/2006/relationships/ctrlProp" Target="../ctrlProps/ctrlProp174.xml"/><Relationship Id="rId197" Type="http://schemas.openxmlformats.org/officeDocument/2006/relationships/ctrlProp" Target="../ctrlProps/ctrlProp195.xml"/><Relationship Id="rId201" Type="http://schemas.openxmlformats.org/officeDocument/2006/relationships/ctrlProp" Target="../ctrlProps/ctrlProp199.xml"/><Relationship Id="rId222" Type="http://schemas.openxmlformats.org/officeDocument/2006/relationships/ctrlProp" Target="../ctrlProps/ctrlProp220.xml"/><Relationship Id="rId17" Type="http://schemas.openxmlformats.org/officeDocument/2006/relationships/ctrlProp" Target="../ctrlProps/ctrlProp15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24" Type="http://schemas.openxmlformats.org/officeDocument/2006/relationships/ctrlProp" Target="../ctrlProps/ctrlProp122.xml"/><Relationship Id="rId70" Type="http://schemas.openxmlformats.org/officeDocument/2006/relationships/ctrlProp" Target="../ctrlProps/ctrlProp68.xml"/><Relationship Id="rId91" Type="http://schemas.openxmlformats.org/officeDocument/2006/relationships/ctrlProp" Target="../ctrlProps/ctrlProp89.xml"/><Relationship Id="rId145" Type="http://schemas.openxmlformats.org/officeDocument/2006/relationships/ctrlProp" Target="../ctrlProps/ctrlProp143.xml"/><Relationship Id="rId166" Type="http://schemas.openxmlformats.org/officeDocument/2006/relationships/ctrlProp" Target="../ctrlProps/ctrlProp164.xml"/><Relationship Id="rId187" Type="http://schemas.openxmlformats.org/officeDocument/2006/relationships/ctrlProp" Target="../ctrlProps/ctrlProp185.xml"/><Relationship Id="rId1" Type="http://schemas.openxmlformats.org/officeDocument/2006/relationships/printerSettings" Target="../printerSettings/printerSettings17.bin"/><Relationship Id="rId212" Type="http://schemas.openxmlformats.org/officeDocument/2006/relationships/ctrlProp" Target="../ctrlProps/ctrlProp210.xml"/><Relationship Id="rId233" Type="http://schemas.openxmlformats.org/officeDocument/2006/relationships/ctrlProp" Target="../ctrlProps/ctrlProp231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60" Type="http://schemas.openxmlformats.org/officeDocument/2006/relationships/ctrlProp" Target="../ctrlProps/ctrlProp58.xml"/><Relationship Id="rId81" Type="http://schemas.openxmlformats.org/officeDocument/2006/relationships/ctrlProp" Target="../ctrlProps/ctrlProp79.xml"/><Relationship Id="rId135" Type="http://schemas.openxmlformats.org/officeDocument/2006/relationships/ctrlProp" Target="../ctrlProps/ctrlProp133.xml"/><Relationship Id="rId156" Type="http://schemas.openxmlformats.org/officeDocument/2006/relationships/ctrlProp" Target="../ctrlProps/ctrlProp154.xml"/><Relationship Id="rId177" Type="http://schemas.openxmlformats.org/officeDocument/2006/relationships/ctrlProp" Target="../ctrlProps/ctrlProp175.xml"/><Relationship Id="rId198" Type="http://schemas.openxmlformats.org/officeDocument/2006/relationships/ctrlProp" Target="../ctrlProps/ctrlProp196.xml"/><Relationship Id="rId202" Type="http://schemas.openxmlformats.org/officeDocument/2006/relationships/ctrlProp" Target="../ctrlProps/ctrlProp200.xml"/><Relationship Id="rId223" Type="http://schemas.openxmlformats.org/officeDocument/2006/relationships/ctrlProp" Target="../ctrlProps/ctrlProp22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50" Type="http://schemas.openxmlformats.org/officeDocument/2006/relationships/ctrlProp" Target="../ctrlProps/ctrlProp48.xml"/><Relationship Id="rId104" Type="http://schemas.openxmlformats.org/officeDocument/2006/relationships/ctrlProp" Target="../ctrlProps/ctrlProp102.xml"/><Relationship Id="rId125" Type="http://schemas.openxmlformats.org/officeDocument/2006/relationships/ctrlProp" Target="../ctrlProps/ctrlProp123.xml"/><Relationship Id="rId146" Type="http://schemas.openxmlformats.org/officeDocument/2006/relationships/ctrlProp" Target="../ctrlProps/ctrlProp144.xml"/><Relationship Id="rId167" Type="http://schemas.openxmlformats.org/officeDocument/2006/relationships/ctrlProp" Target="../ctrlProps/ctrlProp165.xml"/><Relationship Id="rId188" Type="http://schemas.openxmlformats.org/officeDocument/2006/relationships/ctrlProp" Target="../ctrlProps/ctrlProp186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13" Type="http://schemas.openxmlformats.org/officeDocument/2006/relationships/ctrlProp" Target="../ctrlProps/ctrlProp211.xml"/><Relationship Id="rId234" Type="http://schemas.openxmlformats.org/officeDocument/2006/relationships/ctrlProp" Target="../ctrlProps/ctrlProp232.xml"/><Relationship Id="rId2" Type="http://schemas.openxmlformats.org/officeDocument/2006/relationships/drawing" Target="../drawings/drawing16.xml"/><Relationship Id="rId29" Type="http://schemas.openxmlformats.org/officeDocument/2006/relationships/ctrlProp" Target="../ctrlProps/ctrlProp27.xml"/><Relationship Id="rId40" Type="http://schemas.openxmlformats.org/officeDocument/2006/relationships/ctrlProp" Target="../ctrlProps/ctrlProp38.xml"/><Relationship Id="rId115" Type="http://schemas.openxmlformats.org/officeDocument/2006/relationships/ctrlProp" Target="../ctrlProps/ctrlProp113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178" Type="http://schemas.openxmlformats.org/officeDocument/2006/relationships/ctrlProp" Target="../ctrlProps/ctrlProp176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99" Type="http://schemas.openxmlformats.org/officeDocument/2006/relationships/ctrlProp" Target="../ctrlProps/ctrlProp197.xml"/><Relationship Id="rId203" Type="http://schemas.openxmlformats.org/officeDocument/2006/relationships/ctrlProp" Target="../ctrlProps/ctrlProp201.xml"/><Relationship Id="rId19" Type="http://schemas.openxmlformats.org/officeDocument/2006/relationships/ctrlProp" Target="../ctrlProps/ctrlProp17.xml"/><Relationship Id="rId224" Type="http://schemas.openxmlformats.org/officeDocument/2006/relationships/ctrlProp" Target="../ctrlProps/ctrlProp222.xml"/><Relationship Id="rId30" Type="http://schemas.openxmlformats.org/officeDocument/2006/relationships/ctrlProp" Target="../ctrlProps/ctrlProp2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168" Type="http://schemas.openxmlformats.org/officeDocument/2006/relationships/ctrlProp" Target="../ctrlProps/ctrlProp16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189" Type="http://schemas.openxmlformats.org/officeDocument/2006/relationships/ctrlProp" Target="../ctrlProps/ctrlProp187.xml"/><Relationship Id="rId3" Type="http://schemas.openxmlformats.org/officeDocument/2006/relationships/vmlDrawing" Target="../drawings/vmlDrawing16.vml"/><Relationship Id="rId214" Type="http://schemas.openxmlformats.org/officeDocument/2006/relationships/ctrlProp" Target="../ctrlProps/ctrlProp212.xml"/><Relationship Id="rId235" Type="http://schemas.openxmlformats.org/officeDocument/2006/relationships/ctrlProp" Target="../ctrlProps/ctrlProp233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179" Type="http://schemas.openxmlformats.org/officeDocument/2006/relationships/ctrlProp" Target="../ctrlProps/ctrlProp177.xml"/></Relationships>
</file>

<file path=xl/worksheets/_rels/sheet18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351.xml"/><Relationship Id="rId299" Type="http://schemas.openxmlformats.org/officeDocument/2006/relationships/ctrlProp" Target="../ctrlProps/ctrlProp533.xml"/><Relationship Id="rId21" Type="http://schemas.openxmlformats.org/officeDocument/2006/relationships/ctrlProp" Target="../ctrlProps/ctrlProp255.xml"/><Relationship Id="rId63" Type="http://schemas.openxmlformats.org/officeDocument/2006/relationships/ctrlProp" Target="../ctrlProps/ctrlProp297.xml"/><Relationship Id="rId159" Type="http://schemas.openxmlformats.org/officeDocument/2006/relationships/ctrlProp" Target="../ctrlProps/ctrlProp393.xml"/><Relationship Id="rId324" Type="http://schemas.openxmlformats.org/officeDocument/2006/relationships/ctrlProp" Target="../ctrlProps/ctrlProp558.xml"/><Relationship Id="rId170" Type="http://schemas.openxmlformats.org/officeDocument/2006/relationships/ctrlProp" Target="../ctrlProps/ctrlProp404.xml"/><Relationship Id="rId226" Type="http://schemas.openxmlformats.org/officeDocument/2006/relationships/ctrlProp" Target="../ctrlProps/ctrlProp460.xml"/><Relationship Id="rId268" Type="http://schemas.openxmlformats.org/officeDocument/2006/relationships/ctrlProp" Target="../ctrlProps/ctrlProp502.xml"/><Relationship Id="rId32" Type="http://schemas.openxmlformats.org/officeDocument/2006/relationships/ctrlProp" Target="../ctrlProps/ctrlProp266.xml"/><Relationship Id="rId74" Type="http://schemas.openxmlformats.org/officeDocument/2006/relationships/ctrlProp" Target="../ctrlProps/ctrlProp308.xml"/><Relationship Id="rId128" Type="http://schemas.openxmlformats.org/officeDocument/2006/relationships/ctrlProp" Target="../ctrlProps/ctrlProp362.xml"/><Relationship Id="rId335" Type="http://schemas.openxmlformats.org/officeDocument/2006/relationships/ctrlProp" Target="../ctrlProps/ctrlProp569.xml"/><Relationship Id="rId5" Type="http://schemas.openxmlformats.org/officeDocument/2006/relationships/ctrlProp" Target="../ctrlProps/ctrlProp239.xml"/><Relationship Id="rId181" Type="http://schemas.openxmlformats.org/officeDocument/2006/relationships/ctrlProp" Target="../ctrlProps/ctrlProp415.xml"/><Relationship Id="rId237" Type="http://schemas.openxmlformats.org/officeDocument/2006/relationships/ctrlProp" Target="../ctrlProps/ctrlProp471.xml"/><Relationship Id="rId279" Type="http://schemas.openxmlformats.org/officeDocument/2006/relationships/ctrlProp" Target="../ctrlProps/ctrlProp513.xml"/><Relationship Id="rId43" Type="http://schemas.openxmlformats.org/officeDocument/2006/relationships/ctrlProp" Target="../ctrlProps/ctrlProp277.xml"/><Relationship Id="rId139" Type="http://schemas.openxmlformats.org/officeDocument/2006/relationships/ctrlProp" Target="../ctrlProps/ctrlProp373.xml"/><Relationship Id="rId290" Type="http://schemas.openxmlformats.org/officeDocument/2006/relationships/ctrlProp" Target="../ctrlProps/ctrlProp524.xml"/><Relationship Id="rId304" Type="http://schemas.openxmlformats.org/officeDocument/2006/relationships/ctrlProp" Target="../ctrlProps/ctrlProp538.xml"/><Relationship Id="rId346" Type="http://schemas.openxmlformats.org/officeDocument/2006/relationships/ctrlProp" Target="../ctrlProps/ctrlProp580.xml"/><Relationship Id="rId85" Type="http://schemas.openxmlformats.org/officeDocument/2006/relationships/ctrlProp" Target="../ctrlProps/ctrlProp319.xml"/><Relationship Id="rId150" Type="http://schemas.openxmlformats.org/officeDocument/2006/relationships/ctrlProp" Target="../ctrlProps/ctrlProp384.xml"/><Relationship Id="rId192" Type="http://schemas.openxmlformats.org/officeDocument/2006/relationships/ctrlProp" Target="../ctrlProps/ctrlProp426.xml"/><Relationship Id="rId206" Type="http://schemas.openxmlformats.org/officeDocument/2006/relationships/ctrlProp" Target="../ctrlProps/ctrlProp440.xml"/><Relationship Id="rId248" Type="http://schemas.openxmlformats.org/officeDocument/2006/relationships/ctrlProp" Target="../ctrlProps/ctrlProp482.xml"/><Relationship Id="rId12" Type="http://schemas.openxmlformats.org/officeDocument/2006/relationships/ctrlProp" Target="../ctrlProps/ctrlProp246.xml"/><Relationship Id="rId108" Type="http://schemas.openxmlformats.org/officeDocument/2006/relationships/ctrlProp" Target="../ctrlProps/ctrlProp342.xml"/><Relationship Id="rId315" Type="http://schemas.openxmlformats.org/officeDocument/2006/relationships/ctrlProp" Target="../ctrlProps/ctrlProp549.xml"/><Relationship Id="rId357" Type="http://schemas.openxmlformats.org/officeDocument/2006/relationships/ctrlProp" Target="../ctrlProps/ctrlProp591.xml"/><Relationship Id="rId54" Type="http://schemas.openxmlformats.org/officeDocument/2006/relationships/ctrlProp" Target="../ctrlProps/ctrlProp288.xml"/><Relationship Id="rId96" Type="http://schemas.openxmlformats.org/officeDocument/2006/relationships/ctrlProp" Target="../ctrlProps/ctrlProp330.xml"/><Relationship Id="rId161" Type="http://schemas.openxmlformats.org/officeDocument/2006/relationships/ctrlProp" Target="../ctrlProps/ctrlProp395.xml"/><Relationship Id="rId217" Type="http://schemas.openxmlformats.org/officeDocument/2006/relationships/ctrlProp" Target="../ctrlProps/ctrlProp451.xml"/><Relationship Id="rId259" Type="http://schemas.openxmlformats.org/officeDocument/2006/relationships/ctrlProp" Target="../ctrlProps/ctrlProp493.xml"/><Relationship Id="rId23" Type="http://schemas.openxmlformats.org/officeDocument/2006/relationships/ctrlProp" Target="../ctrlProps/ctrlProp257.xml"/><Relationship Id="rId119" Type="http://schemas.openxmlformats.org/officeDocument/2006/relationships/ctrlProp" Target="../ctrlProps/ctrlProp353.xml"/><Relationship Id="rId270" Type="http://schemas.openxmlformats.org/officeDocument/2006/relationships/ctrlProp" Target="../ctrlProps/ctrlProp504.xml"/><Relationship Id="rId326" Type="http://schemas.openxmlformats.org/officeDocument/2006/relationships/ctrlProp" Target="../ctrlProps/ctrlProp560.xml"/><Relationship Id="rId65" Type="http://schemas.openxmlformats.org/officeDocument/2006/relationships/ctrlProp" Target="../ctrlProps/ctrlProp299.xml"/><Relationship Id="rId130" Type="http://schemas.openxmlformats.org/officeDocument/2006/relationships/ctrlProp" Target="../ctrlProps/ctrlProp364.xml"/><Relationship Id="rId172" Type="http://schemas.openxmlformats.org/officeDocument/2006/relationships/ctrlProp" Target="../ctrlProps/ctrlProp406.xml"/><Relationship Id="rId228" Type="http://schemas.openxmlformats.org/officeDocument/2006/relationships/ctrlProp" Target="../ctrlProps/ctrlProp462.xml"/><Relationship Id="rId281" Type="http://schemas.openxmlformats.org/officeDocument/2006/relationships/ctrlProp" Target="../ctrlProps/ctrlProp515.xml"/><Relationship Id="rId337" Type="http://schemas.openxmlformats.org/officeDocument/2006/relationships/ctrlProp" Target="../ctrlProps/ctrlProp571.xml"/><Relationship Id="rId34" Type="http://schemas.openxmlformats.org/officeDocument/2006/relationships/ctrlProp" Target="../ctrlProps/ctrlProp268.xml"/><Relationship Id="rId76" Type="http://schemas.openxmlformats.org/officeDocument/2006/relationships/ctrlProp" Target="../ctrlProps/ctrlProp310.xml"/><Relationship Id="rId141" Type="http://schemas.openxmlformats.org/officeDocument/2006/relationships/ctrlProp" Target="../ctrlProps/ctrlProp375.xml"/><Relationship Id="rId7" Type="http://schemas.openxmlformats.org/officeDocument/2006/relationships/ctrlProp" Target="../ctrlProps/ctrlProp241.xml"/><Relationship Id="rId183" Type="http://schemas.openxmlformats.org/officeDocument/2006/relationships/ctrlProp" Target="../ctrlProps/ctrlProp417.xml"/><Relationship Id="rId239" Type="http://schemas.openxmlformats.org/officeDocument/2006/relationships/ctrlProp" Target="../ctrlProps/ctrlProp473.xml"/><Relationship Id="rId250" Type="http://schemas.openxmlformats.org/officeDocument/2006/relationships/ctrlProp" Target="../ctrlProps/ctrlProp484.xml"/><Relationship Id="rId292" Type="http://schemas.openxmlformats.org/officeDocument/2006/relationships/ctrlProp" Target="../ctrlProps/ctrlProp526.xml"/><Relationship Id="rId306" Type="http://schemas.openxmlformats.org/officeDocument/2006/relationships/ctrlProp" Target="../ctrlProps/ctrlProp540.xml"/><Relationship Id="rId45" Type="http://schemas.openxmlformats.org/officeDocument/2006/relationships/ctrlProp" Target="../ctrlProps/ctrlProp279.xml"/><Relationship Id="rId87" Type="http://schemas.openxmlformats.org/officeDocument/2006/relationships/ctrlProp" Target="../ctrlProps/ctrlProp321.xml"/><Relationship Id="rId110" Type="http://schemas.openxmlformats.org/officeDocument/2006/relationships/ctrlProp" Target="../ctrlProps/ctrlProp344.xml"/><Relationship Id="rId348" Type="http://schemas.openxmlformats.org/officeDocument/2006/relationships/ctrlProp" Target="../ctrlProps/ctrlProp582.xml"/><Relationship Id="rId152" Type="http://schemas.openxmlformats.org/officeDocument/2006/relationships/ctrlProp" Target="../ctrlProps/ctrlProp386.xml"/><Relationship Id="rId194" Type="http://schemas.openxmlformats.org/officeDocument/2006/relationships/ctrlProp" Target="../ctrlProps/ctrlProp428.xml"/><Relationship Id="rId208" Type="http://schemas.openxmlformats.org/officeDocument/2006/relationships/ctrlProp" Target="../ctrlProps/ctrlProp442.xml"/><Relationship Id="rId261" Type="http://schemas.openxmlformats.org/officeDocument/2006/relationships/ctrlProp" Target="../ctrlProps/ctrlProp495.xml"/><Relationship Id="rId14" Type="http://schemas.openxmlformats.org/officeDocument/2006/relationships/ctrlProp" Target="../ctrlProps/ctrlProp248.xml"/><Relationship Id="rId56" Type="http://schemas.openxmlformats.org/officeDocument/2006/relationships/ctrlProp" Target="../ctrlProps/ctrlProp290.xml"/><Relationship Id="rId317" Type="http://schemas.openxmlformats.org/officeDocument/2006/relationships/ctrlProp" Target="../ctrlProps/ctrlProp551.xml"/><Relationship Id="rId98" Type="http://schemas.openxmlformats.org/officeDocument/2006/relationships/ctrlProp" Target="../ctrlProps/ctrlProp332.xml"/><Relationship Id="rId121" Type="http://schemas.openxmlformats.org/officeDocument/2006/relationships/ctrlProp" Target="../ctrlProps/ctrlProp355.xml"/><Relationship Id="rId163" Type="http://schemas.openxmlformats.org/officeDocument/2006/relationships/ctrlProp" Target="../ctrlProps/ctrlProp397.xml"/><Relationship Id="rId219" Type="http://schemas.openxmlformats.org/officeDocument/2006/relationships/ctrlProp" Target="../ctrlProps/ctrlProp453.xml"/><Relationship Id="rId230" Type="http://schemas.openxmlformats.org/officeDocument/2006/relationships/ctrlProp" Target="../ctrlProps/ctrlProp464.xml"/><Relationship Id="rId25" Type="http://schemas.openxmlformats.org/officeDocument/2006/relationships/ctrlProp" Target="../ctrlProps/ctrlProp259.xml"/><Relationship Id="rId46" Type="http://schemas.openxmlformats.org/officeDocument/2006/relationships/ctrlProp" Target="../ctrlProps/ctrlProp280.xml"/><Relationship Id="rId67" Type="http://schemas.openxmlformats.org/officeDocument/2006/relationships/ctrlProp" Target="../ctrlProps/ctrlProp301.xml"/><Relationship Id="rId272" Type="http://schemas.openxmlformats.org/officeDocument/2006/relationships/ctrlProp" Target="../ctrlProps/ctrlProp506.xml"/><Relationship Id="rId293" Type="http://schemas.openxmlformats.org/officeDocument/2006/relationships/ctrlProp" Target="../ctrlProps/ctrlProp527.xml"/><Relationship Id="rId307" Type="http://schemas.openxmlformats.org/officeDocument/2006/relationships/ctrlProp" Target="../ctrlProps/ctrlProp541.xml"/><Relationship Id="rId328" Type="http://schemas.openxmlformats.org/officeDocument/2006/relationships/ctrlProp" Target="../ctrlProps/ctrlProp562.xml"/><Relationship Id="rId349" Type="http://schemas.openxmlformats.org/officeDocument/2006/relationships/ctrlProp" Target="../ctrlProps/ctrlProp583.xml"/><Relationship Id="rId88" Type="http://schemas.openxmlformats.org/officeDocument/2006/relationships/ctrlProp" Target="../ctrlProps/ctrlProp322.xml"/><Relationship Id="rId111" Type="http://schemas.openxmlformats.org/officeDocument/2006/relationships/ctrlProp" Target="../ctrlProps/ctrlProp345.xml"/><Relationship Id="rId132" Type="http://schemas.openxmlformats.org/officeDocument/2006/relationships/ctrlProp" Target="../ctrlProps/ctrlProp366.xml"/><Relationship Id="rId153" Type="http://schemas.openxmlformats.org/officeDocument/2006/relationships/ctrlProp" Target="../ctrlProps/ctrlProp387.xml"/><Relationship Id="rId174" Type="http://schemas.openxmlformats.org/officeDocument/2006/relationships/ctrlProp" Target="../ctrlProps/ctrlProp408.xml"/><Relationship Id="rId195" Type="http://schemas.openxmlformats.org/officeDocument/2006/relationships/ctrlProp" Target="../ctrlProps/ctrlProp429.xml"/><Relationship Id="rId209" Type="http://schemas.openxmlformats.org/officeDocument/2006/relationships/ctrlProp" Target="../ctrlProps/ctrlProp443.xml"/><Relationship Id="rId220" Type="http://schemas.openxmlformats.org/officeDocument/2006/relationships/ctrlProp" Target="../ctrlProps/ctrlProp454.xml"/><Relationship Id="rId241" Type="http://schemas.openxmlformats.org/officeDocument/2006/relationships/ctrlProp" Target="../ctrlProps/ctrlProp475.xml"/><Relationship Id="rId15" Type="http://schemas.openxmlformats.org/officeDocument/2006/relationships/ctrlProp" Target="../ctrlProps/ctrlProp249.xml"/><Relationship Id="rId36" Type="http://schemas.openxmlformats.org/officeDocument/2006/relationships/ctrlProp" Target="../ctrlProps/ctrlProp270.xml"/><Relationship Id="rId57" Type="http://schemas.openxmlformats.org/officeDocument/2006/relationships/ctrlProp" Target="../ctrlProps/ctrlProp291.xml"/><Relationship Id="rId262" Type="http://schemas.openxmlformats.org/officeDocument/2006/relationships/ctrlProp" Target="../ctrlProps/ctrlProp496.xml"/><Relationship Id="rId283" Type="http://schemas.openxmlformats.org/officeDocument/2006/relationships/ctrlProp" Target="../ctrlProps/ctrlProp517.xml"/><Relationship Id="rId318" Type="http://schemas.openxmlformats.org/officeDocument/2006/relationships/ctrlProp" Target="../ctrlProps/ctrlProp552.xml"/><Relationship Id="rId339" Type="http://schemas.openxmlformats.org/officeDocument/2006/relationships/ctrlProp" Target="../ctrlProps/ctrlProp573.xml"/><Relationship Id="rId78" Type="http://schemas.openxmlformats.org/officeDocument/2006/relationships/ctrlProp" Target="../ctrlProps/ctrlProp312.xml"/><Relationship Id="rId99" Type="http://schemas.openxmlformats.org/officeDocument/2006/relationships/ctrlProp" Target="../ctrlProps/ctrlProp333.xml"/><Relationship Id="rId101" Type="http://schemas.openxmlformats.org/officeDocument/2006/relationships/ctrlProp" Target="../ctrlProps/ctrlProp335.xml"/><Relationship Id="rId122" Type="http://schemas.openxmlformats.org/officeDocument/2006/relationships/ctrlProp" Target="../ctrlProps/ctrlProp356.xml"/><Relationship Id="rId143" Type="http://schemas.openxmlformats.org/officeDocument/2006/relationships/ctrlProp" Target="../ctrlProps/ctrlProp377.xml"/><Relationship Id="rId164" Type="http://schemas.openxmlformats.org/officeDocument/2006/relationships/ctrlProp" Target="../ctrlProps/ctrlProp398.xml"/><Relationship Id="rId185" Type="http://schemas.openxmlformats.org/officeDocument/2006/relationships/ctrlProp" Target="../ctrlProps/ctrlProp419.xml"/><Relationship Id="rId350" Type="http://schemas.openxmlformats.org/officeDocument/2006/relationships/ctrlProp" Target="../ctrlProps/ctrlProp584.xml"/><Relationship Id="rId9" Type="http://schemas.openxmlformats.org/officeDocument/2006/relationships/ctrlProp" Target="../ctrlProps/ctrlProp243.xml"/><Relationship Id="rId210" Type="http://schemas.openxmlformats.org/officeDocument/2006/relationships/ctrlProp" Target="../ctrlProps/ctrlProp444.xml"/><Relationship Id="rId26" Type="http://schemas.openxmlformats.org/officeDocument/2006/relationships/ctrlProp" Target="../ctrlProps/ctrlProp260.xml"/><Relationship Id="rId231" Type="http://schemas.openxmlformats.org/officeDocument/2006/relationships/ctrlProp" Target="../ctrlProps/ctrlProp465.xml"/><Relationship Id="rId252" Type="http://schemas.openxmlformats.org/officeDocument/2006/relationships/ctrlProp" Target="../ctrlProps/ctrlProp486.xml"/><Relationship Id="rId273" Type="http://schemas.openxmlformats.org/officeDocument/2006/relationships/ctrlProp" Target="../ctrlProps/ctrlProp507.xml"/><Relationship Id="rId294" Type="http://schemas.openxmlformats.org/officeDocument/2006/relationships/ctrlProp" Target="../ctrlProps/ctrlProp528.xml"/><Relationship Id="rId308" Type="http://schemas.openxmlformats.org/officeDocument/2006/relationships/ctrlProp" Target="../ctrlProps/ctrlProp542.xml"/><Relationship Id="rId329" Type="http://schemas.openxmlformats.org/officeDocument/2006/relationships/ctrlProp" Target="../ctrlProps/ctrlProp563.xml"/><Relationship Id="rId47" Type="http://schemas.openxmlformats.org/officeDocument/2006/relationships/ctrlProp" Target="../ctrlProps/ctrlProp281.xml"/><Relationship Id="rId68" Type="http://schemas.openxmlformats.org/officeDocument/2006/relationships/ctrlProp" Target="../ctrlProps/ctrlProp302.xml"/><Relationship Id="rId89" Type="http://schemas.openxmlformats.org/officeDocument/2006/relationships/ctrlProp" Target="../ctrlProps/ctrlProp323.xml"/><Relationship Id="rId112" Type="http://schemas.openxmlformats.org/officeDocument/2006/relationships/ctrlProp" Target="../ctrlProps/ctrlProp346.xml"/><Relationship Id="rId133" Type="http://schemas.openxmlformats.org/officeDocument/2006/relationships/ctrlProp" Target="../ctrlProps/ctrlProp367.xml"/><Relationship Id="rId154" Type="http://schemas.openxmlformats.org/officeDocument/2006/relationships/ctrlProp" Target="../ctrlProps/ctrlProp388.xml"/><Relationship Id="rId175" Type="http://schemas.openxmlformats.org/officeDocument/2006/relationships/ctrlProp" Target="../ctrlProps/ctrlProp409.xml"/><Relationship Id="rId340" Type="http://schemas.openxmlformats.org/officeDocument/2006/relationships/ctrlProp" Target="../ctrlProps/ctrlProp574.xml"/><Relationship Id="rId196" Type="http://schemas.openxmlformats.org/officeDocument/2006/relationships/ctrlProp" Target="../ctrlProps/ctrlProp430.xml"/><Relationship Id="rId200" Type="http://schemas.openxmlformats.org/officeDocument/2006/relationships/ctrlProp" Target="../ctrlProps/ctrlProp434.xml"/><Relationship Id="rId16" Type="http://schemas.openxmlformats.org/officeDocument/2006/relationships/ctrlProp" Target="../ctrlProps/ctrlProp250.xml"/><Relationship Id="rId221" Type="http://schemas.openxmlformats.org/officeDocument/2006/relationships/ctrlProp" Target="../ctrlProps/ctrlProp455.xml"/><Relationship Id="rId242" Type="http://schemas.openxmlformats.org/officeDocument/2006/relationships/ctrlProp" Target="../ctrlProps/ctrlProp476.xml"/><Relationship Id="rId263" Type="http://schemas.openxmlformats.org/officeDocument/2006/relationships/ctrlProp" Target="../ctrlProps/ctrlProp497.xml"/><Relationship Id="rId284" Type="http://schemas.openxmlformats.org/officeDocument/2006/relationships/ctrlProp" Target="../ctrlProps/ctrlProp518.xml"/><Relationship Id="rId319" Type="http://schemas.openxmlformats.org/officeDocument/2006/relationships/ctrlProp" Target="../ctrlProps/ctrlProp553.xml"/><Relationship Id="rId37" Type="http://schemas.openxmlformats.org/officeDocument/2006/relationships/ctrlProp" Target="../ctrlProps/ctrlProp271.xml"/><Relationship Id="rId58" Type="http://schemas.openxmlformats.org/officeDocument/2006/relationships/ctrlProp" Target="../ctrlProps/ctrlProp292.xml"/><Relationship Id="rId79" Type="http://schemas.openxmlformats.org/officeDocument/2006/relationships/ctrlProp" Target="../ctrlProps/ctrlProp313.xml"/><Relationship Id="rId102" Type="http://schemas.openxmlformats.org/officeDocument/2006/relationships/ctrlProp" Target="../ctrlProps/ctrlProp336.xml"/><Relationship Id="rId123" Type="http://schemas.openxmlformats.org/officeDocument/2006/relationships/ctrlProp" Target="../ctrlProps/ctrlProp357.xml"/><Relationship Id="rId144" Type="http://schemas.openxmlformats.org/officeDocument/2006/relationships/ctrlProp" Target="../ctrlProps/ctrlProp378.xml"/><Relationship Id="rId330" Type="http://schemas.openxmlformats.org/officeDocument/2006/relationships/ctrlProp" Target="../ctrlProps/ctrlProp564.xml"/><Relationship Id="rId90" Type="http://schemas.openxmlformats.org/officeDocument/2006/relationships/ctrlProp" Target="../ctrlProps/ctrlProp324.xml"/><Relationship Id="rId165" Type="http://schemas.openxmlformats.org/officeDocument/2006/relationships/ctrlProp" Target="../ctrlProps/ctrlProp399.xml"/><Relationship Id="rId186" Type="http://schemas.openxmlformats.org/officeDocument/2006/relationships/ctrlProp" Target="../ctrlProps/ctrlProp420.xml"/><Relationship Id="rId351" Type="http://schemas.openxmlformats.org/officeDocument/2006/relationships/ctrlProp" Target="../ctrlProps/ctrlProp585.xml"/><Relationship Id="rId211" Type="http://schemas.openxmlformats.org/officeDocument/2006/relationships/ctrlProp" Target="../ctrlProps/ctrlProp445.xml"/><Relationship Id="rId232" Type="http://schemas.openxmlformats.org/officeDocument/2006/relationships/ctrlProp" Target="../ctrlProps/ctrlProp466.xml"/><Relationship Id="rId253" Type="http://schemas.openxmlformats.org/officeDocument/2006/relationships/ctrlProp" Target="../ctrlProps/ctrlProp487.xml"/><Relationship Id="rId274" Type="http://schemas.openxmlformats.org/officeDocument/2006/relationships/ctrlProp" Target="../ctrlProps/ctrlProp508.xml"/><Relationship Id="rId295" Type="http://schemas.openxmlformats.org/officeDocument/2006/relationships/ctrlProp" Target="../ctrlProps/ctrlProp529.xml"/><Relationship Id="rId309" Type="http://schemas.openxmlformats.org/officeDocument/2006/relationships/ctrlProp" Target="../ctrlProps/ctrlProp543.xml"/><Relationship Id="rId27" Type="http://schemas.openxmlformats.org/officeDocument/2006/relationships/ctrlProp" Target="../ctrlProps/ctrlProp261.xml"/><Relationship Id="rId48" Type="http://schemas.openxmlformats.org/officeDocument/2006/relationships/ctrlProp" Target="../ctrlProps/ctrlProp282.xml"/><Relationship Id="rId69" Type="http://schemas.openxmlformats.org/officeDocument/2006/relationships/ctrlProp" Target="../ctrlProps/ctrlProp303.xml"/><Relationship Id="rId113" Type="http://schemas.openxmlformats.org/officeDocument/2006/relationships/ctrlProp" Target="../ctrlProps/ctrlProp347.xml"/><Relationship Id="rId134" Type="http://schemas.openxmlformats.org/officeDocument/2006/relationships/ctrlProp" Target="../ctrlProps/ctrlProp368.xml"/><Relationship Id="rId320" Type="http://schemas.openxmlformats.org/officeDocument/2006/relationships/ctrlProp" Target="../ctrlProps/ctrlProp554.xml"/><Relationship Id="rId80" Type="http://schemas.openxmlformats.org/officeDocument/2006/relationships/ctrlProp" Target="../ctrlProps/ctrlProp314.xml"/><Relationship Id="rId155" Type="http://schemas.openxmlformats.org/officeDocument/2006/relationships/ctrlProp" Target="../ctrlProps/ctrlProp389.xml"/><Relationship Id="rId176" Type="http://schemas.openxmlformats.org/officeDocument/2006/relationships/ctrlProp" Target="../ctrlProps/ctrlProp410.xml"/><Relationship Id="rId197" Type="http://schemas.openxmlformats.org/officeDocument/2006/relationships/ctrlProp" Target="../ctrlProps/ctrlProp431.xml"/><Relationship Id="rId341" Type="http://schemas.openxmlformats.org/officeDocument/2006/relationships/ctrlProp" Target="../ctrlProps/ctrlProp575.xml"/><Relationship Id="rId201" Type="http://schemas.openxmlformats.org/officeDocument/2006/relationships/ctrlProp" Target="../ctrlProps/ctrlProp435.xml"/><Relationship Id="rId222" Type="http://schemas.openxmlformats.org/officeDocument/2006/relationships/ctrlProp" Target="../ctrlProps/ctrlProp456.xml"/><Relationship Id="rId243" Type="http://schemas.openxmlformats.org/officeDocument/2006/relationships/ctrlProp" Target="../ctrlProps/ctrlProp477.xml"/><Relationship Id="rId264" Type="http://schemas.openxmlformats.org/officeDocument/2006/relationships/ctrlProp" Target="../ctrlProps/ctrlProp498.xml"/><Relationship Id="rId285" Type="http://schemas.openxmlformats.org/officeDocument/2006/relationships/ctrlProp" Target="../ctrlProps/ctrlProp519.xml"/><Relationship Id="rId17" Type="http://schemas.openxmlformats.org/officeDocument/2006/relationships/ctrlProp" Target="../ctrlProps/ctrlProp251.xml"/><Relationship Id="rId38" Type="http://schemas.openxmlformats.org/officeDocument/2006/relationships/ctrlProp" Target="../ctrlProps/ctrlProp272.xml"/><Relationship Id="rId59" Type="http://schemas.openxmlformats.org/officeDocument/2006/relationships/ctrlProp" Target="../ctrlProps/ctrlProp293.xml"/><Relationship Id="rId103" Type="http://schemas.openxmlformats.org/officeDocument/2006/relationships/ctrlProp" Target="../ctrlProps/ctrlProp337.xml"/><Relationship Id="rId124" Type="http://schemas.openxmlformats.org/officeDocument/2006/relationships/ctrlProp" Target="../ctrlProps/ctrlProp358.xml"/><Relationship Id="rId310" Type="http://schemas.openxmlformats.org/officeDocument/2006/relationships/ctrlProp" Target="../ctrlProps/ctrlProp544.xml"/><Relationship Id="rId70" Type="http://schemas.openxmlformats.org/officeDocument/2006/relationships/ctrlProp" Target="../ctrlProps/ctrlProp304.xml"/><Relationship Id="rId91" Type="http://schemas.openxmlformats.org/officeDocument/2006/relationships/ctrlProp" Target="../ctrlProps/ctrlProp325.xml"/><Relationship Id="rId145" Type="http://schemas.openxmlformats.org/officeDocument/2006/relationships/ctrlProp" Target="../ctrlProps/ctrlProp379.xml"/><Relationship Id="rId166" Type="http://schemas.openxmlformats.org/officeDocument/2006/relationships/ctrlProp" Target="../ctrlProps/ctrlProp400.xml"/><Relationship Id="rId187" Type="http://schemas.openxmlformats.org/officeDocument/2006/relationships/ctrlProp" Target="../ctrlProps/ctrlProp421.xml"/><Relationship Id="rId331" Type="http://schemas.openxmlformats.org/officeDocument/2006/relationships/ctrlProp" Target="../ctrlProps/ctrlProp565.xml"/><Relationship Id="rId352" Type="http://schemas.openxmlformats.org/officeDocument/2006/relationships/ctrlProp" Target="../ctrlProps/ctrlProp586.xml"/><Relationship Id="rId1" Type="http://schemas.openxmlformats.org/officeDocument/2006/relationships/printerSettings" Target="../printerSettings/printerSettings18.bin"/><Relationship Id="rId212" Type="http://schemas.openxmlformats.org/officeDocument/2006/relationships/ctrlProp" Target="../ctrlProps/ctrlProp446.xml"/><Relationship Id="rId233" Type="http://schemas.openxmlformats.org/officeDocument/2006/relationships/ctrlProp" Target="../ctrlProps/ctrlProp467.xml"/><Relationship Id="rId254" Type="http://schemas.openxmlformats.org/officeDocument/2006/relationships/ctrlProp" Target="../ctrlProps/ctrlProp488.xml"/><Relationship Id="rId28" Type="http://schemas.openxmlformats.org/officeDocument/2006/relationships/ctrlProp" Target="../ctrlProps/ctrlProp262.xml"/><Relationship Id="rId49" Type="http://schemas.openxmlformats.org/officeDocument/2006/relationships/ctrlProp" Target="../ctrlProps/ctrlProp283.xml"/><Relationship Id="rId114" Type="http://schemas.openxmlformats.org/officeDocument/2006/relationships/ctrlProp" Target="../ctrlProps/ctrlProp348.xml"/><Relationship Id="rId275" Type="http://schemas.openxmlformats.org/officeDocument/2006/relationships/ctrlProp" Target="../ctrlProps/ctrlProp509.xml"/><Relationship Id="rId296" Type="http://schemas.openxmlformats.org/officeDocument/2006/relationships/ctrlProp" Target="../ctrlProps/ctrlProp530.xml"/><Relationship Id="rId300" Type="http://schemas.openxmlformats.org/officeDocument/2006/relationships/ctrlProp" Target="../ctrlProps/ctrlProp534.xml"/><Relationship Id="rId60" Type="http://schemas.openxmlformats.org/officeDocument/2006/relationships/ctrlProp" Target="../ctrlProps/ctrlProp294.xml"/><Relationship Id="rId81" Type="http://schemas.openxmlformats.org/officeDocument/2006/relationships/ctrlProp" Target="../ctrlProps/ctrlProp315.xml"/><Relationship Id="rId135" Type="http://schemas.openxmlformats.org/officeDocument/2006/relationships/ctrlProp" Target="../ctrlProps/ctrlProp369.xml"/><Relationship Id="rId156" Type="http://schemas.openxmlformats.org/officeDocument/2006/relationships/ctrlProp" Target="../ctrlProps/ctrlProp390.xml"/><Relationship Id="rId177" Type="http://schemas.openxmlformats.org/officeDocument/2006/relationships/ctrlProp" Target="../ctrlProps/ctrlProp411.xml"/><Relationship Id="rId198" Type="http://schemas.openxmlformats.org/officeDocument/2006/relationships/ctrlProp" Target="../ctrlProps/ctrlProp432.xml"/><Relationship Id="rId321" Type="http://schemas.openxmlformats.org/officeDocument/2006/relationships/ctrlProp" Target="../ctrlProps/ctrlProp555.xml"/><Relationship Id="rId342" Type="http://schemas.openxmlformats.org/officeDocument/2006/relationships/ctrlProp" Target="../ctrlProps/ctrlProp576.xml"/><Relationship Id="rId202" Type="http://schemas.openxmlformats.org/officeDocument/2006/relationships/ctrlProp" Target="../ctrlProps/ctrlProp436.xml"/><Relationship Id="rId223" Type="http://schemas.openxmlformats.org/officeDocument/2006/relationships/ctrlProp" Target="../ctrlProps/ctrlProp457.xml"/><Relationship Id="rId244" Type="http://schemas.openxmlformats.org/officeDocument/2006/relationships/ctrlProp" Target="../ctrlProps/ctrlProp478.xml"/><Relationship Id="rId18" Type="http://schemas.openxmlformats.org/officeDocument/2006/relationships/ctrlProp" Target="../ctrlProps/ctrlProp252.xml"/><Relationship Id="rId39" Type="http://schemas.openxmlformats.org/officeDocument/2006/relationships/ctrlProp" Target="../ctrlProps/ctrlProp273.xml"/><Relationship Id="rId265" Type="http://schemas.openxmlformats.org/officeDocument/2006/relationships/ctrlProp" Target="../ctrlProps/ctrlProp499.xml"/><Relationship Id="rId286" Type="http://schemas.openxmlformats.org/officeDocument/2006/relationships/ctrlProp" Target="../ctrlProps/ctrlProp520.xml"/><Relationship Id="rId50" Type="http://schemas.openxmlformats.org/officeDocument/2006/relationships/ctrlProp" Target="../ctrlProps/ctrlProp284.xml"/><Relationship Id="rId104" Type="http://schemas.openxmlformats.org/officeDocument/2006/relationships/ctrlProp" Target="../ctrlProps/ctrlProp338.xml"/><Relationship Id="rId125" Type="http://schemas.openxmlformats.org/officeDocument/2006/relationships/ctrlProp" Target="../ctrlProps/ctrlProp359.xml"/><Relationship Id="rId146" Type="http://schemas.openxmlformats.org/officeDocument/2006/relationships/ctrlProp" Target="../ctrlProps/ctrlProp380.xml"/><Relationship Id="rId167" Type="http://schemas.openxmlformats.org/officeDocument/2006/relationships/ctrlProp" Target="../ctrlProps/ctrlProp401.xml"/><Relationship Id="rId188" Type="http://schemas.openxmlformats.org/officeDocument/2006/relationships/ctrlProp" Target="../ctrlProps/ctrlProp422.xml"/><Relationship Id="rId311" Type="http://schemas.openxmlformats.org/officeDocument/2006/relationships/ctrlProp" Target="../ctrlProps/ctrlProp545.xml"/><Relationship Id="rId332" Type="http://schemas.openxmlformats.org/officeDocument/2006/relationships/ctrlProp" Target="../ctrlProps/ctrlProp566.xml"/><Relationship Id="rId353" Type="http://schemas.openxmlformats.org/officeDocument/2006/relationships/ctrlProp" Target="../ctrlProps/ctrlProp587.xml"/><Relationship Id="rId71" Type="http://schemas.openxmlformats.org/officeDocument/2006/relationships/ctrlProp" Target="../ctrlProps/ctrlProp305.xml"/><Relationship Id="rId92" Type="http://schemas.openxmlformats.org/officeDocument/2006/relationships/ctrlProp" Target="../ctrlProps/ctrlProp326.xml"/><Relationship Id="rId213" Type="http://schemas.openxmlformats.org/officeDocument/2006/relationships/ctrlProp" Target="../ctrlProps/ctrlProp447.xml"/><Relationship Id="rId234" Type="http://schemas.openxmlformats.org/officeDocument/2006/relationships/ctrlProp" Target="../ctrlProps/ctrlProp468.xml"/><Relationship Id="rId2" Type="http://schemas.openxmlformats.org/officeDocument/2006/relationships/drawing" Target="../drawings/drawing17.xml"/><Relationship Id="rId29" Type="http://schemas.openxmlformats.org/officeDocument/2006/relationships/ctrlProp" Target="../ctrlProps/ctrlProp263.xml"/><Relationship Id="rId255" Type="http://schemas.openxmlformats.org/officeDocument/2006/relationships/ctrlProp" Target="../ctrlProps/ctrlProp489.xml"/><Relationship Id="rId276" Type="http://schemas.openxmlformats.org/officeDocument/2006/relationships/ctrlProp" Target="../ctrlProps/ctrlProp510.xml"/><Relationship Id="rId297" Type="http://schemas.openxmlformats.org/officeDocument/2006/relationships/ctrlProp" Target="../ctrlProps/ctrlProp531.xml"/><Relationship Id="rId40" Type="http://schemas.openxmlformats.org/officeDocument/2006/relationships/ctrlProp" Target="../ctrlProps/ctrlProp274.xml"/><Relationship Id="rId115" Type="http://schemas.openxmlformats.org/officeDocument/2006/relationships/ctrlProp" Target="../ctrlProps/ctrlProp349.xml"/><Relationship Id="rId136" Type="http://schemas.openxmlformats.org/officeDocument/2006/relationships/ctrlProp" Target="../ctrlProps/ctrlProp370.xml"/><Relationship Id="rId157" Type="http://schemas.openxmlformats.org/officeDocument/2006/relationships/ctrlProp" Target="../ctrlProps/ctrlProp391.xml"/><Relationship Id="rId178" Type="http://schemas.openxmlformats.org/officeDocument/2006/relationships/ctrlProp" Target="../ctrlProps/ctrlProp412.xml"/><Relationship Id="rId301" Type="http://schemas.openxmlformats.org/officeDocument/2006/relationships/ctrlProp" Target="../ctrlProps/ctrlProp535.xml"/><Relationship Id="rId322" Type="http://schemas.openxmlformats.org/officeDocument/2006/relationships/ctrlProp" Target="../ctrlProps/ctrlProp556.xml"/><Relationship Id="rId343" Type="http://schemas.openxmlformats.org/officeDocument/2006/relationships/ctrlProp" Target="../ctrlProps/ctrlProp577.xml"/><Relationship Id="rId61" Type="http://schemas.openxmlformats.org/officeDocument/2006/relationships/ctrlProp" Target="../ctrlProps/ctrlProp295.xml"/><Relationship Id="rId82" Type="http://schemas.openxmlformats.org/officeDocument/2006/relationships/ctrlProp" Target="../ctrlProps/ctrlProp316.xml"/><Relationship Id="rId199" Type="http://schemas.openxmlformats.org/officeDocument/2006/relationships/ctrlProp" Target="../ctrlProps/ctrlProp433.xml"/><Relationship Id="rId203" Type="http://schemas.openxmlformats.org/officeDocument/2006/relationships/ctrlProp" Target="../ctrlProps/ctrlProp437.xml"/><Relationship Id="rId19" Type="http://schemas.openxmlformats.org/officeDocument/2006/relationships/ctrlProp" Target="../ctrlProps/ctrlProp253.xml"/><Relationship Id="rId224" Type="http://schemas.openxmlformats.org/officeDocument/2006/relationships/ctrlProp" Target="../ctrlProps/ctrlProp458.xml"/><Relationship Id="rId245" Type="http://schemas.openxmlformats.org/officeDocument/2006/relationships/ctrlProp" Target="../ctrlProps/ctrlProp479.xml"/><Relationship Id="rId266" Type="http://schemas.openxmlformats.org/officeDocument/2006/relationships/ctrlProp" Target="../ctrlProps/ctrlProp500.xml"/><Relationship Id="rId287" Type="http://schemas.openxmlformats.org/officeDocument/2006/relationships/ctrlProp" Target="../ctrlProps/ctrlProp521.xml"/><Relationship Id="rId30" Type="http://schemas.openxmlformats.org/officeDocument/2006/relationships/ctrlProp" Target="../ctrlProps/ctrlProp264.xml"/><Relationship Id="rId105" Type="http://schemas.openxmlformats.org/officeDocument/2006/relationships/ctrlProp" Target="../ctrlProps/ctrlProp339.xml"/><Relationship Id="rId126" Type="http://schemas.openxmlformats.org/officeDocument/2006/relationships/ctrlProp" Target="../ctrlProps/ctrlProp360.xml"/><Relationship Id="rId147" Type="http://schemas.openxmlformats.org/officeDocument/2006/relationships/ctrlProp" Target="../ctrlProps/ctrlProp381.xml"/><Relationship Id="rId168" Type="http://schemas.openxmlformats.org/officeDocument/2006/relationships/ctrlProp" Target="../ctrlProps/ctrlProp402.xml"/><Relationship Id="rId312" Type="http://schemas.openxmlformats.org/officeDocument/2006/relationships/ctrlProp" Target="../ctrlProps/ctrlProp546.xml"/><Relationship Id="rId333" Type="http://schemas.openxmlformats.org/officeDocument/2006/relationships/ctrlProp" Target="../ctrlProps/ctrlProp567.xml"/><Relationship Id="rId354" Type="http://schemas.openxmlformats.org/officeDocument/2006/relationships/ctrlProp" Target="../ctrlProps/ctrlProp588.xml"/><Relationship Id="rId51" Type="http://schemas.openxmlformats.org/officeDocument/2006/relationships/ctrlProp" Target="../ctrlProps/ctrlProp285.xml"/><Relationship Id="rId72" Type="http://schemas.openxmlformats.org/officeDocument/2006/relationships/ctrlProp" Target="../ctrlProps/ctrlProp306.xml"/><Relationship Id="rId93" Type="http://schemas.openxmlformats.org/officeDocument/2006/relationships/ctrlProp" Target="../ctrlProps/ctrlProp327.xml"/><Relationship Id="rId189" Type="http://schemas.openxmlformats.org/officeDocument/2006/relationships/ctrlProp" Target="../ctrlProps/ctrlProp423.xml"/><Relationship Id="rId3" Type="http://schemas.openxmlformats.org/officeDocument/2006/relationships/vmlDrawing" Target="../drawings/vmlDrawing17.vml"/><Relationship Id="rId214" Type="http://schemas.openxmlformats.org/officeDocument/2006/relationships/ctrlProp" Target="../ctrlProps/ctrlProp448.xml"/><Relationship Id="rId235" Type="http://schemas.openxmlformats.org/officeDocument/2006/relationships/ctrlProp" Target="../ctrlProps/ctrlProp469.xml"/><Relationship Id="rId256" Type="http://schemas.openxmlformats.org/officeDocument/2006/relationships/ctrlProp" Target="../ctrlProps/ctrlProp490.xml"/><Relationship Id="rId277" Type="http://schemas.openxmlformats.org/officeDocument/2006/relationships/ctrlProp" Target="../ctrlProps/ctrlProp511.xml"/><Relationship Id="rId298" Type="http://schemas.openxmlformats.org/officeDocument/2006/relationships/ctrlProp" Target="../ctrlProps/ctrlProp532.xml"/><Relationship Id="rId116" Type="http://schemas.openxmlformats.org/officeDocument/2006/relationships/ctrlProp" Target="../ctrlProps/ctrlProp350.xml"/><Relationship Id="rId137" Type="http://schemas.openxmlformats.org/officeDocument/2006/relationships/ctrlProp" Target="../ctrlProps/ctrlProp371.xml"/><Relationship Id="rId158" Type="http://schemas.openxmlformats.org/officeDocument/2006/relationships/ctrlProp" Target="../ctrlProps/ctrlProp392.xml"/><Relationship Id="rId302" Type="http://schemas.openxmlformats.org/officeDocument/2006/relationships/ctrlProp" Target="../ctrlProps/ctrlProp536.xml"/><Relationship Id="rId323" Type="http://schemas.openxmlformats.org/officeDocument/2006/relationships/ctrlProp" Target="../ctrlProps/ctrlProp557.xml"/><Relationship Id="rId344" Type="http://schemas.openxmlformats.org/officeDocument/2006/relationships/ctrlProp" Target="../ctrlProps/ctrlProp578.xml"/><Relationship Id="rId20" Type="http://schemas.openxmlformats.org/officeDocument/2006/relationships/ctrlProp" Target="../ctrlProps/ctrlProp254.xml"/><Relationship Id="rId41" Type="http://schemas.openxmlformats.org/officeDocument/2006/relationships/ctrlProp" Target="../ctrlProps/ctrlProp275.xml"/><Relationship Id="rId62" Type="http://schemas.openxmlformats.org/officeDocument/2006/relationships/ctrlProp" Target="../ctrlProps/ctrlProp296.xml"/><Relationship Id="rId83" Type="http://schemas.openxmlformats.org/officeDocument/2006/relationships/ctrlProp" Target="../ctrlProps/ctrlProp317.xml"/><Relationship Id="rId179" Type="http://schemas.openxmlformats.org/officeDocument/2006/relationships/ctrlProp" Target="../ctrlProps/ctrlProp413.xml"/><Relationship Id="rId190" Type="http://schemas.openxmlformats.org/officeDocument/2006/relationships/ctrlProp" Target="../ctrlProps/ctrlProp424.xml"/><Relationship Id="rId204" Type="http://schemas.openxmlformats.org/officeDocument/2006/relationships/ctrlProp" Target="../ctrlProps/ctrlProp438.xml"/><Relationship Id="rId225" Type="http://schemas.openxmlformats.org/officeDocument/2006/relationships/ctrlProp" Target="../ctrlProps/ctrlProp459.xml"/><Relationship Id="rId246" Type="http://schemas.openxmlformats.org/officeDocument/2006/relationships/ctrlProp" Target="../ctrlProps/ctrlProp480.xml"/><Relationship Id="rId267" Type="http://schemas.openxmlformats.org/officeDocument/2006/relationships/ctrlProp" Target="../ctrlProps/ctrlProp501.xml"/><Relationship Id="rId288" Type="http://schemas.openxmlformats.org/officeDocument/2006/relationships/ctrlProp" Target="../ctrlProps/ctrlProp522.xml"/><Relationship Id="rId106" Type="http://schemas.openxmlformats.org/officeDocument/2006/relationships/ctrlProp" Target="../ctrlProps/ctrlProp340.xml"/><Relationship Id="rId127" Type="http://schemas.openxmlformats.org/officeDocument/2006/relationships/ctrlProp" Target="../ctrlProps/ctrlProp361.xml"/><Relationship Id="rId313" Type="http://schemas.openxmlformats.org/officeDocument/2006/relationships/ctrlProp" Target="../ctrlProps/ctrlProp547.xml"/><Relationship Id="rId10" Type="http://schemas.openxmlformats.org/officeDocument/2006/relationships/ctrlProp" Target="../ctrlProps/ctrlProp244.xml"/><Relationship Id="rId31" Type="http://schemas.openxmlformats.org/officeDocument/2006/relationships/ctrlProp" Target="../ctrlProps/ctrlProp265.xml"/><Relationship Id="rId52" Type="http://schemas.openxmlformats.org/officeDocument/2006/relationships/ctrlProp" Target="../ctrlProps/ctrlProp286.xml"/><Relationship Id="rId73" Type="http://schemas.openxmlformats.org/officeDocument/2006/relationships/ctrlProp" Target="../ctrlProps/ctrlProp307.xml"/><Relationship Id="rId94" Type="http://schemas.openxmlformats.org/officeDocument/2006/relationships/ctrlProp" Target="../ctrlProps/ctrlProp328.xml"/><Relationship Id="rId148" Type="http://schemas.openxmlformats.org/officeDocument/2006/relationships/ctrlProp" Target="../ctrlProps/ctrlProp382.xml"/><Relationship Id="rId169" Type="http://schemas.openxmlformats.org/officeDocument/2006/relationships/ctrlProp" Target="../ctrlProps/ctrlProp403.xml"/><Relationship Id="rId334" Type="http://schemas.openxmlformats.org/officeDocument/2006/relationships/ctrlProp" Target="../ctrlProps/ctrlProp568.xml"/><Relationship Id="rId355" Type="http://schemas.openxmlformats.org/officeDocument/2006/relationships/ctrlProp" Target="../ctrlProps/ctrlProp589.xml"/><Relationship Id="rId4" Type="http://schemas.openxmlformats.org/officeDocument/2006/relationships/ctrlProp" Target="../ctrlProps/ctrlProp238.xml"/><Relationship Id="rId180" Type="http://schemas.openxmlformats.org/officeDocument/2006/relationships/ctrlProp" Target="../ctrlProps/ctrlProp414.xml"/><Relationship Id="rId215" Type="http://schemas.openxmlformats.org/officeDocument/2006/relationships/ctrlProp" Target="../ctrlProps/ctrlProp449.xml"/><Relationship Id="rId236" Type="http://schemas.openxmlformats.org/officeDocument/2006/relationships/ctrlProp" Target="../ctrlProps/ctrlProp470.xml"/><Relationship Id="rId257" Type="http://schemas.openxmlformats.org/officeDocument/2006/relationships/ctrlProp" Target="../ctrlProps/ctrlProp491.xml"/><Relationship Id="rId278" Type="http://schemas.openxmlformats.org/officeDocument/2006/relationships/ctrlProp" Target="../ctrlProps/ctrlProp512.xml"/><Relationship Id="rId303" Type="http://schemas.openxmlformats.org/officeDocument/2006/relationships/ctrlProp" Target="../ctrlProps/ctrlProp537.xml"/><Relationship Id="rId42" Type="http://schemas.openxmlformats.org/officeDocument/2006/relationships/ctrlProp" Target="../ctrlProps/ctrlProp276.xml"/><Relationship Id="rId84" Type="http://schemas.openxmlformats.org/officeDocument/2006/relationships/ctrlProp" Target="../ctrlProps/ctrlProp318.xml"/><Relationship Id="rId138" Type="http://schemas.openxmlformats.org/officeDocument/2006/relationships/ctrlProp" Target="../ctrlProps/ctrlProp372.xml"/><Relationship Id="rId345" Type="http://schemas.openxmlformats.org/officeDocument/2006/relationships/ctrlProp" Target="../ctrlProps/ctrlProp579.xml"/><Relationship Id="rId191" Type="http://schemas.openxmlformats.org/officeDocument/2006/relationships/ctrlProp" Target="../ctrlProps/ctrlProp425.xml"/><Relationship Id="rId205" Type="http://schemas.openxmlformats.org/officeDocument/2006/relationships/ctrlProp" Target="../ctrlProps/ctrlProp439.xml"/><Relationship Id="rId247" Type="http://schemas.openxmlformats.org/officeDocument/2006/relationships/ctrlProp" Target="../ctrlProps/ctrlProp481.xml"/><Relationship Id="rId107" Type="http://schemas.openxmlformats.org/officeDocument/2006/relationships/ctrlProp" Target="../ctrlProps/ctrlProp341.xml"/><Relationship Id="rId289" Type="http://schemas.openxmlformats.org/officeDocument/2006/relationships/ctrlProp" Target="../ctrlProps/ctrlProp523.xml"/><Relationship Id="rId11" Type="http://schemas.openxmlformats.org/officeDocument/2006/relationships/ctrlProp" Target="../ctrlProps/ctrlProp245.xml"/><Relationship Id="rId53" Type="http://schemas.openxmlformats.org/officeDocument/2006/relationships/ctrlProp" Target="../ctrlProps/ctrlProp287.xml"/><Relationship Id="rId149" Type="http://schemas.openxmlformats.org/officeDocument/2006/relationships/ctrlProp" Target="../ctrlProps/ctrlProp383.xml"/><Relationship Id="rId314" Type="http://schemas.openxmlformats.org/officeDocument/2006/relationships/ctrlProp" Target="../ctrlProps/ctrlProp548.xml"/><Relationship Id="rId356" Type="http://schemas.openxmlformats.org/officeDocument/2006/relationships/ctrlProp" Target="../ctrlProps/ctrlProp590.xml"/><Relationship Id="rId95" Type="http://schemas.openxmlformats.org/officeDocument/2006/relationships/ctrlProp" Target="../ctrlProps/ctrlProp329.xml"/><Relationship Id="rId160" Type="http://schemas.openxmlformats.org/officeDocument/2006/relationships/ctrlProp" Target="../ctrlProps/ctrlProp394.xml"/><Relationship Id="rId216" Type="http://schemas.openxmlformats.org/officeDocument/2006/relationships/ctrlProp" Target="../ctrlProps/ctrlProp450.xml"/><Relationship Id="rId258" Type="http://schemas.openxmlformats.org/officeDocument/2006/relationships/ctrlProp" Target="../ctrlProps/ctrlProp492.xml"/><Relationship Id="rId22" Type="http://schemas.openxmlformats.org/officeDocument/2006/relationships/ctrlProp" Target="../ctrlProps/ctrlProp256.xml"/><Relationship Id="rId64" Type="http://schemas.openxmlformats.org/officeDocument/2006/relationships/ctrlProp" Target="../ctrlProps/ctrlProp298.xml"/><Relationship Id="rId118" Type="http://schemas.openxmlformats.org/officeDocument/2006/relationships/ctrlProp" Target="../ctrlProps/ctrlProp352.xml"/><Relationship Id="rId325" Type="http://schemas.openxmlformats.org/officeDocument/2006/relationships/ctrlProp" Target="../ctrlProps/ctrlProp559.xml"/><Relationship Id="rId171" Type="http://schemas.openxmlformats.org/officeDocument/2006/relationships/ctrlProp" Target="../ctrlProps/ctrlProp405.xml"/><Relationship Id="rId227" Type="http://schemas.openxmlformats.org/officeDocument/2006/relationships/ctrlProp" Target="../ctrlProps/ctrlProp461.xml"/><Relationship Id="rId269" Type="http://schemas.openxmlformats.org/officeDocument/2006/relationships/ctrlProp" Target="../ctrlProps/ctrlProp503.xml"/><Relationship Id="rId33" Type="http://schemas.openxmlformats.org/officeDocument/2006/relationships/ctrlProp" Target="../ctrlProps/ctrlProp267.xml"/><Relationship Id="rId129" Type="http://schemas.openxmlformats.org/officeDocument/2006/relationships/ctrlProp" Target="../ctrlProps/ctrlProp363.xml"/><Relationship Id="rId280" Type="http://schemas.openxmlformats.org/officeDocument/2006/relationships/ctrlProp" Target="../ctrlProps/ctrlProp514.xml"/><Relationship Id="rId336" Type="http://schemas.openxmlformats.org/officeDocument/2006/relationships/ctrlProp" Target="../ctrlProps/ctrlProp570.xml"/><Relationship Id="rId75" Type="http://schemas.openxmlformats.org/officeDocument/2006/relationships/ctrlProp" Target="../ctrlProps/ctrlProp309.xml"/><Relationship Id="rId140" Type="http://schemas.openxmlformats.org/officeDocument/2006/relationships/ctrlProp" Target="../ctrlProps/ctrlProp374.xml"/><Relationship Id="rId182" Type="http://schemas.openxmlformats.org/officeDocument/2006/relationships/ctrlProp" Target="../ctrlProps/ctrlProp416.xml"/><Relationship Id="rId6" Type="http://schemas.openxmlformats.org/officeDocument/2006/relationships/ctrlProp" Target="../ctrlProps/ctrlProp240.xml"/><Relationship Id="rId238" Type="http://schemas.openxmlformats.org/officeDocument/2006/relationships/ctrlProp" Target="../ctrlProps/ctrlProp472.xml"/><Relationship Id="rId291" Type="http://schemas.openxmlformats.org/officeDocument/2006/relationships/ctrlProp" Target="../ctrlProps/ctrlProp525.xml"/><Relationship Id="rId305" Type="http://schemas.openxmlformats.org/officeDocument/2006/relationships/ctrlProp" Target="../ctrlProps/ctrlProp539.xml"/><Relationship Id="rId347" Type="http://schemas.openxmlformats.org/officeDocument/2006/relationships/ctrlProp" Target="../ctrlProps/ctrlProp581.xml"/><Relationship Id="rId44" Type="http://schemas.openxmlformats.org/officeDocument/2006/relationships/ctrlProp" Target="../ctrlProps/ctrlProp278.xml"/><Relationship Id="rId86" Type="http://schemas.openxmlformats.org/officeDocument/2006/relationships/ctrlProp" Target="../ctrlProps/ctrlProp320.xml"/><Relationship Id="rId151" Type="http://schemas.openxmlformats.org/officeDocument/2006/relationships/ctrlProp" Target="../ctrlProps/ctrlProp385.xml"/><Relationship Id="rId193" Type="http://schemas.openxmlformats.org/officeDocument/2006/relationships/ctrlProp" Target="../ctrlProps/ctrlProp427.xml"/><Relationship Id="rId207" Type="http://schemas.openxmlformats.org/officeDocument/2006/relationships/ctrlProp" Target="../ctrlProps/ctrlProp441.xml"/><Relationship Id="rId249" Type="http://schemas.openxmlformats.org/officeDocument/2006/relationships/ctrlProp" Target="../ctrlProps/ctrlProp483.xml"/><Relationship Id="rId13" Type="http://schemas.openxmlformats.org/officeDocument/2006/relationships/ctrlProp" Target="../ctrlProps/ctrlProp247.xml"/><Relationship Id="rId109" Type="http://schemas.openxmlformats.org/officeDocument/2006/relationships/ctrlProp" Target="../ctrlProps/ctrlProp343.xml"/><Relationship Id="rId260" Type="http://schemas.openxmlformats.org/officeDocument/2006/relationships/ctrlProp" Target="../ctrlProps/ctrlProp494.xml"/><Relationship Id="rId316" Type="http://schemas.openxmlformats.org/officeDocument/2006/relationships/ctrlProp" Target="../ctrlProps/ctrlProp550.xml"/><Relationship Id="rId55" Type="http://schemas.openxmlformats.org/officeDocument/2006/relationships/ctrlProp" Target="../ctrlProps/ctrlProp289.xml"/><Relationship Id="rId97" Type="http://schemas.openxmlformats.org/officeDocument/2006/relationships/ctrlProp" Target="../ctrlProps/ctrlProp331.xml"/><Relationship Id="rId120" Type="http://schemas.openxmlformats.org/officeDocument/2006/relationships/ctrlProp" Target="../ctrlProps/ctrlProp354.xml"/><Relationship Id="rId358" Type="http://schemas.openxmlformats.org/officeDocument/2006/relationships/ctrlProp" Target="../ctrlProps/ctrlProp592.xml"/><Relationship Id="rId162" Type="http://schemas.openxmlformats.org/officeDocument/2006/relationships/ctrlProp" Target="../ctrlProps/ctrlProp396.xml"/><Relationship Id="rId218" Type="http://schemas.openxmlformats.org/officeDocument/2006/relationships/ctrlProp" Target="../ctrlProps/ctrlProp452.xml"/><Relationship Id="rId271" Type="http://schemas.openxmlformats.org/officeDocument/2006/relationships/ctrlProp" Target="../ctrlProps/ctrlProp505.xml"/><Relationship Id="rId24" Type="http://schemas.openxmlformats.org/officeDocument/2006/relationships/ctrlProp" Target="../ctrlProps/ctrlProp258.xml"/><Relationship Id="rId66" Type="http://schemas.openxmlformats.org/officeDocument/2006/relationships/ctrlProp" Target="../ctrlProps/ctrlProp300.xml"/><Relationship Id="rId131" Type="http://schemas.openxmlformats.org/officeDocument/2006/relationships/ctrlProp" Target="../ctrlProps/ctrlProp365.xml"/><Relationship Id="rId327" Type="http://schemas.openxmlformats.org/officeDocument/2006/relationships/ctrlProp" Target="../ctrlProps/ctrlProp561.xml"/><Relationship Id="rId173" Type="http://schemas.openxmlformats.org/officeDocument/2006/relationships/ctrlProp" Target="../ctrlProps/ctrlProp407.xml"/><Relationship Id="rId229" Type="http://schemas.openxmlformats.org/officeDocument/2006/relationships/ctrlProp" Target="../ctrlProps/ctrlProp463.xml"/><Relationship Id="rId240" Type="http://schemas.openxmlformats.org/officeDocument/2006/relationships/ctrlProp" Target="../ctrlProps/ctrlProp474.xml"/><Relationship Id="rId35" Type="http://schemas.openxmlformats.org/officeDocument/2006/relationships/ctrlProp" Target="../ctrlProps/ctrlProp269.xml"/><Relationship Id="rId77" Type="http://schemas.openxmlformats.org/officeDocument/2006/relationships/ctrlProp" Target="../ctrlProps/ctrlProp311.xml"/><Relationship Id="rId100" Type="http://schemas.openxmlformats.org/officeDocument/2006/relationships/ctrlProp" Target="../ctrlProps/ctrlProp334.xml"/><Relationship Id="rId282" Type="http://schemas.openxmlformats.org/officeDocument/2006/relationships/ctrlProp" Target="../ctrlProps/ctrlProp516.xml"/><Relationship Id="rId338" Type="http://schemas.openxmlformats.org/officeDocument/2006/relationships/ctrlProp" Target="../ctrlProps/ctrlProp572.xml"/><Relationship Id="rId8" Type="http://schemas.openxmlformats.org/officeDocument/2006/relationships/ctrlProp" Target="../ctrlProps/ctrlProp242.xml"/><Relationship Id="rId142" Type="http://schemas.openxmlformats.org/officeDocument/2006/relationships/ctrlProp" Target="../ctrlProps/ctrlProp376.xml"/><Relationship Id="rId184" Type="http://schemas.openxmlformats.org/officeDocument/2006/relationships/ctrlProp" Target="../ctrlProps/ctrlProp418.xml"/><Relationship Id="rId251" Type="http://schemas.openxmlformats.org/officeDocument/2006/relationships/ctrlProp" Target="../ctrlProps/ctrlProp485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www.2imanagement.ch/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22.v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www.2imanagement.ch/" TargetMode="External"/><Relationship Id="rId4" Type="http://schemas.openxmlformats.org/officeDocument/2006/relationships/vmlDrawing" Target="../drawings/vmlDrawing25.v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Relationship Id="rId4" Type="http://schemas.openxmlformats.org/officeDocument/2006/relationships/comments" Target="../comments5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rgb="FFFF3300"/>
  </sheetPr>
  <dimension ref="A1:Z793"/>
  <sheetViews>
    <sheetView zoomScaleNormal="100" workbookViewId="0">
      <selection activeCell="E7" sqref="E7"/>
    </sheetView>
  </sheetViews>
  <sheetFormatPr baseColWidth="10" defaultColWidth="11.44140625" defaultRowHeight="14.4" x14ac:dyDescent="0.25"/>
  <cols>
    <col min="1" max="1" width="46.88671875" style="47" customWidth="1"/>
    <col min="2" max="2" width="4.88671875" style="9" hidden="1" customWidth="1"/>
    <col min="3" max="4" width="48.5546875" style="9" customWidth="1"/>
    <col min="5" max="5" width="48.44140625" style="9" customWidth="1"/>
    <col min="6" max="6" width="56.109375" style="9" customWidth="1"/>
    <col min="7" max="7" width="50.44140625" style="48" customWidth="1"/>
    <col min="8" max="8" width="22.6640625" style="9" customWidth="1"/>
    <col min="9" max="9" width="11.44140625" style="9"/>
    <col min="10" max="10" width="11.44140625" style="1"/>
    <col min="11" max="25" width="11.44140625" style="9"/>
    <col min="26" max="26" width="11.44140625" style="4" hidden="1" customWidth="1"/>
    <col min="27" max="256" width="11.44140625" style="9"/>
    <col min="257" max="257" width="41.5546875" style="9" customWidth="1"/>
    <col min="258" max="258" width="12.88671875" style="9" customWidth="1"/>
    <col min="259" max="263" width="34" style="9" customWidth="1"/>
    <col min="264" max="512" width="11.44140625" style="9"/>
    <col min="513" max="513" width="41.5546875" style="9" customWidth="1"/>
    <col min="514" max="514" width="12.88671875" style="9" customWidth="1"/>
    <col min="515" max="519" width="34" style="9" customWidth="1"/>
    <col min="520" max="768" width="11.44140625" style="9"/>
    <col min="769" max="769" width="41.5546875" style="9" customWidth="1"/>
    <col min="770" max="770" width="12.88671875" style="9" customWidth="1"/>
    <col min="771" max="775" width="34" style="9" customWidth="1"/>
    <col min="776" max="1024" width="11.44140625" style="9"/>
    <col min="1025" max="1025" width="41.5546875" style="9" customWidth="1"/>
    <col min="1026" max="1026" width="12.88671875" style="9" customWidth="1"/>
    <col min="1027" max="1031" width="34" style="9" customWidth="1"/>
    <col min="1032" max="1280" width="11.44140625" style="9"/>
    <col min="1281" max="1281" width="41.5546875" style="9" customWidth="1"/>
    <col min="1282" max="1282" width="12.88671875" style="9" customWidth="1"/>
    <col min="1283" max="1287" width="34" style="9" customWidth="1"/>
    <col min="1288" max="1536" width="11.44140625" style="9"/>
    <col min="1537" max="1537" width="41.5546875" style="9" customWidth="1"/>
    <col min="1538" max="1538" width="12.88671875" style="9" customWidth="1"/>
    <col min="1539" max="1543" width="34" style="9" customWidth="1"/>
    <col min="1544" max="1792" width="11.44140625" style="9"/>
    <col min="1793" max="1793" width="41.5546875" style="9" customWidth="1"/>
    <col min="1794" max="1794" width="12.88671875" style="9" customWidth="1"/>
    <col min="1795" max="1799" width="34" style="9" customWidth="1"/>
    <col min="1800" max="2048" width="11.44140625" style="9"/>
    <col min="2049" max="2049" width="41.5546875" style="9" customWidth="1"/>
    <col min="2050" max="2050" width="12.88671875" style="9" customWidth="1"/>
    <col min="2051" max="2055" width="34" style="9" customWidth="1"/>
    <col min="2056" max="2304" width="11.44140625" style="9"/>
    <col min="2305" max="2305" width="41.5546875" style="9" customWidth="1"/>
    <col min="2306" max="2306" width="12.88671875" style="9" customWidth="1"/>
    <col min="2307" max="2311" width="34" style="9" customWidth="1"/>
    <col min="2312" max="2560" width="11.44140625" style="9"/>
    <col min="2561" max="2561" width="41.5546875" style="9" customWidth="1"/>
    <col min="2562" max="2562" width="12.88671875" style="9" customWidth="1"/>
    <col min="2563" max="2567" width="34" style="9" customWidth="1"/>
    <col min="2568" max="2816" width="11.44140625" style="9"/>
    <col min="2817" max="2817" width="41.5546875" style="9" customWidth="1"/>
    <col min="2818" max="2818" width="12.88671875" style="9" customWidth="1"/>
    <col min="2819" max="2823" width="34" style="9" customWidth="1"/>
    <col min="2824" max="3072" width="11.44140625" style="9"/>
    <col min="3073" max="3073" width="41.5546875" style="9" customWidth="1"/>
    <col min="3074" max="3074" width="12.88671875" style="9" customWidth="1"/>
    <col min="3075" max="3079" width="34" style="9" customWidth="1"/>
    <col min="3080" max="3328" width="11.44140625" style="9"/>
    <col min="3329" max="3329" width="41.5546875" style="9" customWidth="1"/>
    <col min="3330" max="3330" width="12.88671875" style="9" customWidth="1"/>
    <col min="3331" max="3335" width="34" style="9" customWidth="1"/>
    <col min="3336" max="3584" width="11.44140625" style="9"/>
    <col min="3585" max="3585" width="41.5546875" style="9" customWidth="1"/>
    <col min="3586" max="3586" width="12.88671875" style="9" customWidth="1"/>
    <col min="3587" max="3591" width="34" style="9" customWidth="1"/>
    <col min="3592" max="3840" width="11.44140625" style="9"/>
    <col min="3841" max="3841" width="41.5546875" style="9" customWidth="1"/>
    <col min="3842" max="3842" width="12.88671875" style="9" customWidth="1"/>
    <col min="3843" max="3847" width="34" style="9" customWidth="1"/>
    <col min="3848" max="4096" width="11.44140625" style="9"/>
    <col min="4097" max="4097" width="41.5546875" style="9" customWidth="1"/>
    <col min="4098" max="4098" width="12.88671875" style="9" customWidth="1"/>
    <col min="4099" max="4103" width="34" style="9" customWidth="1"/>
    <col min="4104" max="4352" width="11.44140625" style="9"/>
    <col min="4353" max="4353" width="41.5546875" style="9" customWidth="1"/>
    <col min="4354" max="4354" width="12.88671875" style="9" customWidth="1"/>
    <col min="4355" max="4359" width="34" style="9" customWidth="1"/>
    <col min="4360" max="4608" width="11.44140625" style="9"/>
    <col min="4609" max="4609" width="41.5546875" style="9" customWidth="1"/>
    <col min="4610" max="4610" width="12.88671875" style="9" customWidth="1"/>
    <col min="4611" max="4615" width="34" style="9" customWidth="1"/>
    <col min="4616" max="4864" width="11.44140625" style="9"/>
    <col min="4865" max="4865" width="41.5546875" style="9" customWidth="1"/>
    <col min="4866" max="4866" width="12.88671875" style="9" customWidth="1"/>
    <col min="4867" max="4871" width="34" style="9" customWidth="1"/>
    <col min="4872" max="5120" width="11.44140625" style="9"/>
    <col min="5121" max="5121" width="41.5546875" style="9" customWidth="1"/>
    <col min="5122" max="5122" width="12.88671875" style="9" customWidth="1"/>
    <col min="5123" max="5127" width="34" style="9" customWidth="1"/>
    <col min="5128" max="5376" width="11.44140625" style="9"/>
    <col min="5377" max="5377" width="41.5546875" style="9" customWidth="1"/>
    <col min="5378" max="5378" width="12.88671875" style="9" customWidth="1"/>
    <col min="5379" max="5383" width="34" style="9" customWidth="1"/>
    <col min="5384" max="5632" width="11.44140625" style="9"/>
    <col min="5633" max="5633" width="41.5546875" style="9" customWidth="1"/>
    <col min="5634" max="5634" width="12.88671875" style="9" customWidth="1"/>
    <col min="5635" max="5639" width="34" style="9" customWidth="1"/>
    <col min="5640" max="5888" width="11.44140625" style="9"/>
    <col min="5889" max="5889" width="41.5546875" style="9" customWidth="1"/>
    <col min="5890" max="5890" width="12.88671875" style="9" customWidth="1"/>
    <col min="5891" max="5895" width="34" style="9" customWidth="1"/>
    <col min="5896" max="6144" width="11.44140625" style="9"/>
    <col min="6145" max="6145" width="41.5546875" style="9" customWidth="1"/>
    <col min="6146" max="6146" width="12.88671875" style="9" customWidth="1"/>
    <col min="6147" max="6151" width="34" style="9" customWidth="1"/>
    <col min="6152" max="6400" width="11.44140625" style="9"/>
    <col min="6401" max="6401" width="41.5546875" style="9" customWidth="1"/>
    <col min="6402" max="6402" width="12.88671875" style="9" customWidth="1"/>
    <col min="6403" max="6407" width="34" style="9" customWidth="1"/>
    <col min="6408" max="6656" width="11.44140625" style="9"/>
    <col min="6657" max="6657" width="41.5546875" style="9" customWidth="1"/>
    <col min="6658" max="6658" width="12.88671875" style="9" customWidth="1"/>
    <col min="6659" max="6663" width="34" style="9" customWidth="1"/>
    <col min="6664" max="6912" width="11.44140625" style="9"/>
    <col min="6913" max="6913" width="41.5546875" style="9" customWidth="1"/>
    <col min="6914" max="6914" width="12.88671875" style="9" customWidth="1"/>
    <col min="6915" max="6919" width="34" style="9" customWidth="1"/>
    <col min="6920" max="7168" width="11.44140625" style="9"/>
    <col min="7169" max="7169" width="41.5546875" style="9" customWidth="1"/>
    <col min="7170" max="7170" width="12.88671875" style="9" customWidth="1"/>
    <col min="7171" max="7175" width="34" style="9" customWidth="1"/>
    <col min="7176" max="7424" width="11.44140625" style="9"/>
    <col min="7425" max="7425" width="41.5546875" style="9" customWidth="1"/>
    <col min="7426" max="7426" width="12.88671875" style="9" customWidth="1"/>
    <col min="7427" max="7431" width="34" style="9" customWidth="1"/>
    <col min="7432" max="7680" width="11.44140625" style="9"/>
    <col min="7681" max="7681" width="41.5546875" style="9" customWidth="1"/>
    <col min="7682" max="7682" width="12.88671875" style="9" customWidth="1"/>
    <col min="7683" max="7687" width="34" style="9" customWidth="1"/>
    <col min="7688" max="7936" width="11.44140625" style="9"/>
    <col min="7937" max="7937" width="41.5546875" style="9" customWidth="1"/>
    <col min="7938" max="7938" width="12.88671875" style="9" customWidth="1"/>
    <col min="7939" max="7943" width="34" style="9" customWidth="1"/>
    <col min="7944" max="8192" width="11.44140625" style="9"/>
    <col min="8193" max="8193" width="41.5546875" style="9" customWidth="1"/>
    <col min="8194" max="8194" width="12.88671875" style="9" customWidth="1"/>
    <col min="8195" max="8199" width="34" style="9" customWidth="1"/>
    <col min="8200" max="8448" width="11.44140625" style="9"/>
    <col min="8449" max="8449" width="41.5546875" style="9" customWidth="1"/>
    <col min="8450" max="8450" width="12.88671875" style="9" customWidth="1"/>
    <col min="8451" max="8455" width="34" style="9" customWidth="1"/>
    <col min="8456" max="8704" width="11.44140625" style="9"/>
    <col min="8705" max="8705" width="41.5546875" style="9" customWidth="1"/>
    <col min="8706" max="8706" width="12.88671875" style="9" customWidth="1"/>
    <col min="8707" max="8711" width="34" style="9" customWidth="1"/>
    <col min="8712" max="8960" width="11.44140625" style="9"/>
    <col min="8961" max="8961" width="41.5546875" style="9" customWidth="1"/>
    <col min="8962" max="8962" width="12.88671875" style="9" customWidth="1"/>
    <col min="8963" max="8967" width="34" style="9" customWidth="1"/>
    <col min="8968" max="9216" width="11.44140625" style="9"/>
    <col min="9217" max="9217" width="41.5546875" style="9" customWidth="1"/>
    <col min="9218" max="9218" width="12.88671875" style="9" customWidth="1"/>
    <col min="9219" max="9223" width="34" style="9" customWidth="1"/>
    <col min="9224" max="9472" width="11.44140625" style="9"/>
    <col min="9473" max="9473" width="41.5546875" style="9" customWidth="1"/>
    <col min="9474" max="9474" width="12.88671875" style="9" customWidth="1"/>
    <col min="9475" max="9479" width="34" style="9" customWidth="1"/>
    <col min="9480" max="9728" width="11.44140625" style="9"/>
    <col min="9729" max="9729" width="41.5546875" style="9" customWidth="1"/>
    <col min="9730" max="9730" width="12.88671875" style="9" customWidth="1"/>
    <col min="9731" max="9735" width="34" style="9" customWidth="1"/>
    <col min="9736" max="9984" width="11.44140625" style="9"/>
    <col min="9985" max="9985" width="41.5546875" style="9" customWidth="1"/>
    <col min="9986" max="9986" width="12.88671875" style="9" customWidth="1"/>
    <col min="9987" max="9991" width="34" style="9" customWidth="1"/>
    <col min="9992" max="10240" width="11.44140625" style="9"/>
    <col min="10241" max="10241" width="41.5546875" style="9" customWidth="1"/>
    <col min="10242" max="10242" width="12.88671875" style="9" customWidth="1"/>
    <col min="10243" max="10247" width="34" style="9" customWidth="1"/>
    <col min="10248" max="10496" width="11.44140625" style="9"/>
    <col min="10497" max="10497" width="41.5546875" style="9" customWidth="1"/>
    <col min="10498" max="10498" width="12.88671875" style="9" customWidth="1"/>
    <col min="10499" max="10503" width="34" style="9" customWidth="1"/>
    <col min="10504" max="10752" width="11.44140625" style="9"/>
    <col min="10753" max="10753" width="41.5546875" style="9" customWidth="1"/>
    <col min="10754" max="10754" width="12.88671875" style="9" customWidth="1"/>
    <col min="10755" max="10759" width="34" style="9" customWidth="1"/>
    <col min="10760" max="11008" width="11.44140625" style="9"/>
    <col min="11009" max="11009" width="41.5546875" style="9" customWidth="1"/>
    <col min="11010" max="11010" width="12.88671875" style="9" customWidth="1"/>
    <col min="11011" max="11015" width="34" style="9" customWidth="1"/>
    <col min="11016" max="11264" width="11.44140625" style="9"/>
    <col min="11265" max="11265" width="41.5546875" style="9" customWidth="1"/>
    <col min="11266" max="11266" width="12.88671875" style="9" customWidth="1"/>
    <col min="11267" max="11271" width="34" style="9" customWidth="1"/>
    <col min="11272" max="11520" width="11.44140625" style="9"/>
    <col min="11521" max="11521" width="41.5546875" style="9" customWidth="1"/>
    <col min="11522" max="11522" width="12.88671875" style="9" customWidth="1"/>
    <col min="11523" max="11527" width="34" style="9" customWidth="1"/>
    <col min="11528" max="11776" width="11.44140625" style="9"/>
    <col min="11777" max="11777" width="41.5546875" style="9" customWidth="1"/>
    <col min="11778" max="11778" width="12.88671875" style="9" customWidth="1"/>
    <col min="11779" max="11783" width="34" style="9" customWidth="1"/>
    <col min="11784" max="12032" width="11.44140625" style="9"/>
    <col min="12033" max="12033" width="41.5546875" style="9" customWidth="1"/>
    <col min="12034" max="12034" width="12.88671875" style="9" customWidth="1"/>
    <col min="12035" max="12039" width="34" style="9" customWidth="1"/>
    <col min="12040" max="12288" width="11.44140625" style="9"/>
    <col min="12289" max="12289" width="41.5546875" style="9" customWidth="1"/>
    <col min="12290" max="12290" width="12.88671875" style="9" customWidth="1"/>
    <col min="12291" max="12295" width="34" style="9" customWidth="1"/>
    <col min="12296" max="12544" width="11.44140625" style="9"/>
    <col min="12545" max="12545" width="41.5546875" style="9" customWidth="1"/>
    <col min="12546" max="12546" width="12.88671875" style="9" customWidth="1"/>
    <col min="12547" max="12551" width="34" style="9" customWidth="1"/>
    <col min="12552" max="12800" width="11.44140625" style="9"/>
    <col min="12801" max="12801" width="41.5546875" style="9" customWidth="1"/>
    <col min="12802" max="12802" width="12.88671875" style="9" customWidth="1"/>
    <col min="12803" max="12807" width="34" style="9" customWidth="1"/>
    <col min="12808" max="13056" width="11.44140625" style="9"/>
    <col min="13057" max="13057" width="41.5546875" style="9" customWidth="1"/>
    <col min="13058" max="13058" width="12.88671875" style="9" customWidth="1"/>
    <col min="13059" max="13063" width="34" style="9" customWidth="1"/>
    <col min="13064" max="13312" width="11.44140625" style="9"/>
    <col min="13313" max="13313" width="41.5546875" style="9" customWidth="1"/>
    <col min="13314" max="13314" width="12.88671875" style="9" customWidth="1"/>
    <col min="13315" max="13319" width="34" style="9" customWidth="1"/>
    <col min="13320" max="13568" width="11.44140625" style="9"/>
    <col min="13569" max="13569" width="41.5546875" style="9" customWidth="1"/>
    <col min="13570" max="13570" width="12.88671875" style="9" customWidth="1"/>
    <col min="13571" max="13575" width="34" style="9" customWidth="1"/>
    <col min="13576" max="13824" width="11.44140625" style="9"/>
    <col min="13825" max="13825" width="41.5546875" style="9" customWidth="1"/>
    <col min="13826" max="13826" width="12.88671875" style="9" customWidth="1"/>
    <col min="13827" max="13831" width="34" style="9" customWidth="1"/>
    <col min="13832" max="14080" width="11.44140625" style="9"/>
    <col min="14081" max="14081" width="41.5546875" style="9" customWidth="1"/>
    <col min="14082" max="14082" width="12.88671875" style="9" customWidth="1"/>
    <col min="14083" max="14087" width="34" style="9" customWidth="1"/>
    <col min="14088" max="14336" width="11.44140625" style="9"/>
    <col min="14337" max="14337" width="41.5546875" style="9" customWidth="1"/>
    <col min="14338" max="14338" width="12.88671875" style="9" customWidth="1"/>
    <col min="14339" max="14343" width="34" style="9" customWidth="1"/>
    <col min="14344" max="14592" width="11.44140625" style="9"/>
    <col min="14593" max="14593" width="41.5546875" style="9" customWidth="1"/>
    <col min="14594" max="14594" width="12.88671875" style="9" customWidth="1"/>
    <col min="14595" max="14599" width="34" style="9" customWidth="1"/>
    <col min="14600" max="14848" width="11.44140625" style="9"/>
    <col min="14849" max="14849" width="41.5546875" style="9" customWidth="1"/>
    <col min="14850" max="14850" width="12.88671875" style="9" customWidth="1"/>
    <col min="14851" max="14855" width="34" style="9" customWidth="1"/>
    <col min="14856" max="15104" width="11.44140625" style="9"/>
    <col min="15105" max="15105" width="41.5546875" style="9" customWidth="1"/>
    <col min="15106" max="15106" width="12.88671875" style="9" customWidth="1"/>
    <col min="15107" max="15111" width="34" style="9" customWidth="1"/>
    <col min="15112" max="15360" width="11.44140625" style="9"/>
    <col min="15361" max="15361" width="41.5546875" style="9" customWidth="1"/>
    <col min="15362" max="15362" width="12.88671875" style="9" customWidth="1"/>
    <col min="15363" max="15367" width="34" style="9" customWidth="1"/>
    <col min="15368" max="15616" width="11.44140625" style="9"/>
    <col min="15617" max="15617" width="41.5546875" style="9" customWidth="1"/>
    <col min="15618" max="15618" width="12.88671875" style="9" customWidth="1"/>
    <col min="15619" max="15623" width="34" style="9" customWidth="1"/>
    <col min="15624" max="15872" width="11.44140625" style="9"/>
    <col min="15873" max="15873" width="41.5546875" style="9" customWidth="1"/>
    <col min="15874" max="15874" width="12.88671875" style="9" customWidth="1"/>
    <col min="15875" max="15879" width="34" style="9" customWidth="1"/>
    <col min="15880" max="16128" width="11.44140625" style="9"/>
    <col min="16129" max="16129" width="41.5546875" style="9" customWidth="1"/>
    <col min="16130" max="16130" width="12.88671875" style="9" customWidth="1"/>
    <col min="16131" max="16135" width="34" style="9" customWidth="1"/>
    <col min="16136" max="16384" width="11.44140625" style="9"/>
  </cols>
  <sheetData>
    <row r="1" spans="1:26" x14ac:dyDescent="0.25">
      <c r="A1" s="6" t="str">
        <f ca="1">OFFSET($C1,0,$Z$5-1)</f>
        <v>Deutsch</v>
      </c>
      <c r="B1" s="7"/>
      <c r="C1" s="8" t="s">
        <v>5</v>
      </c>
      <c r="D1" s="8" t="s">
        <v>6</v>
      </c>
      <c r="E1" s="8" t="s">
        <v>7</v>
      </c>
      <c r="F1" s="8" t="s">
        <v>8</v>
      </c>
      <c r="G1" s="8"/>
      <c r="J1" s="9"/>
    </row>
    <row r="2" spans="1:26" x14ac:dyDescent="0.25">
      <c r="A2" s="10" t="s">
        <v>9</v>
      </c>
      <c r="B2" s="11"/>
      <c r="C2" s="12" t="s">
        <v>10</v>
      </c>
      <c r="D2" s="12" t="s">
        <v>11</v>
      </c>
      <c r="E2" s="12" t="s">
        <v>12</v>
      </c>
      <c r="F2" s="12" t="s">
        <v>13</v>
      </c>
      <c r="G2" s="12" t="s">
        <v>14</v>
      </c>
      <c r="J2" s="9"/>
    </row>
    <row r="3" spans="1:26" x14ac:dyDescent="0.25">
      <c r="A3" s="13" t="s">
        <v>15</v>
      </c>
      <c r="B3" s="11"/>
      <c r="C3" s="14" t="s">
        <v>5</v>
      </c>
      <c r="D3" s="14" t="s">
        <v>6</v>
      </c>
      <c r="E3" s="14" t="s">
        <v>7</v>
      </c>
      <c r="F3" s="14" t="s">
        <v>8</v>
      </c>
      <c r="G3" s="14" t="s">
        <v>16</v>
      </c>
      <c r="J3" s="9"/>
    </row>
    <row r="4" spans="1:26" x14ac:dyDescent="0.25">
      <c r="A4" s="10"/>
      <c r="B4" s="60">
        <v>1</v>
      </c>
      <c r="C4" s="15"/>
      <c r="D4" s="15"/>
      <c r="E4" s="15"/>
      <c r="F4" s="15"/>
      <c r="G4" s="15"/>
      <c r="J4" s="9"/>
      <c r="Z4" s="4">
        <v>55153</v>
      </c>
    </row>
    <row r="5" spans="1:26" s="19" customFormat="1" x14ac:dyDescent="0.25">
      <c r="A5" s="16" t="str">
        <f t="shared" ref="A5:A37" ca="1" si="0">OFFSET($C5,0,$Z$5-1)</f>
        <v>C H A N G E    M A N A G E M E N T</v>
      </c>
      <c r="B5" s="17"/>
      <c r="C5" s="16" t="s">
        <v>1395</v>
      </c>
      <c r="D5" s="16" t="s">
        <v>1396</v>
      </c>
      <c r="E5" s="16" t="s">
        <v>1395</v>
      </c>
      <c r="F5" s="16"/>
      <c r="G5" s="18" t="s">
        <v>17</v>
      </c>
      <c r="I5" s="9"/>
      <c r="Z5" s="3">
        <f ca="1">IF(AND(MenuChange!B36="© iManagement • s.imboden • www.2iManagement.ch",
TODAY()&lt;=$Z$4),
$B$4,5)</f>
        <v>1</v>
      </c>
    </row>
    <row r="6" spans="1:26" ht="28.8" x14ac:dyDescent="0.25">
      <c r="A6" s="20" t="str">
        <f t="shared" ca="1" si="0"/>
        <v>1. 
Dringlichkeit erzeugen</v>
      </c>
      <c r="B6" s="7"/>
      <c r="C6" s="21" t="s">
        <v>1850</v>
      </c>
      <c r="D6" s="21" t="s">
        <v>2071</v>
      </c>
      <c r="E6" s="21" t="s">
        <v>2043</v>
      </c>
      <c r="F6" s="21"/>
      <c r="G6" s="22" t="s">
        <v>17</v>
      </c>
      <c r="J6" s="9"/>
      <c r="Z6" s="5" t="s">
        <v>5</v>
      </c>
    </row>
    <row r="7" spans="1:26" ht="28.8" x14ac:dyDescent="0.25">
      <c r="A7" s="6" t="str">
        <f t="shared" ca="1" si="0"/>
        <v>2. 
Führungs-koalitionen bilden</v>
      </c>
      <c r="B7" s="7"/>
      <c r="C7" s="1009" t="s">
        <v>2108</v>
      </c>
      <c r="D7" s="1009" t="s">
        <v>1855</v>
      </c>
      <c r="E7" s="1009" t="s">
        <v>2109</v>
      </c>
      <c r="F7" s="7"/>
      <c r="G7" s="23" t="s">
        <v>17</v>
      </c>
      <c r="J7" s="9"/>
      <c r="Z7" s="5" t="s">
        <v>6</v>
      </c>
    </row>
    <row r="8" spans="1:26" ht="28.8" x14ac:dyDescent="0.25">
      <c r="A8" s="6" t="str">
        <f t="shared" ca="1" si="0"/>
        <v>3. 
Vision &amp; Strategie entwickeln und kommunizieren</v>
      </c>
      <c r="B8" s="7"/>
      <c r="C8" s="8" t="s">
        <v>1851</v>
      </c>
      <c r="D8" s="8" t="s">
        <v>1867</v>
      </c>
      <c r="E8" s="8" t="s">
        <v>2044</v>
      </c>
      <c r="F8" s="8"/>
      <c r="G8" s="23" t="s">
        <v>17</v>
      </c>
      <c r="J8" s="9"/>
      <c r="Z8" s="5" t="s">
        <v>7</v>
      </c>
    </row>
    <row r="9" spans="1:26" ht="28.8" x14ac:dyDescent="0.25">
      <c r="A9" s="6" t="str">
        <f t="shared" ca="1" si="0"/>
        <v>4. 
Umsetzungsbasis schaffen</v>
      </c>
      <c r="B9" s="7"/>
      <c r="C9" s="7" t="s">
        <v>1868</v>
      </c>
      <c r="D9" s="7" t="s">
        <v>1856</v>
      </c>
      <c r="E9" s="7" t="s">
        <v>2045</v>
      </c>
      <c r="F9" s="7"/>
      <c r="G9" s="23" t="s">
        <v>17</v>
      </c>
      <c r="J9" s="9"/>
      <c r="Z9" s="5" t="s">
        <v>8</v>
      </c>
    </row>
    <row r="10" spans="1:26" ht="28.8" x14ac:dyDescent="0.25">
      <c r="A10" s="6" t="str">
        <f t="shared" ca="1" si="0"/>
        <v>5. 
Kurzfristige Erfolge ermöglichen</v>
      </c>
      <c r="B10" s="7"/>
      <c r="C10" s="8" t="s">
        <v>1852</v>
      </c>
      <c r="D10" s="8" t="s">
        <v>1857</v>
      </c>
      <c r="E10" s="8" t="s">
        <v>2046</v>
      </c>
      <c r="F10" s="8"/>
      <c r="G10" s="23" t="s">
        <v>17</v>
      </c>
      <c r="J10" s="9"/>
    </row>
    <row r="11" spans="1:26" ht="28.8" x14ac:dyDescent="0.25">
      <c r="A11" s="6" t="str">
        <f t="shared" ca="1" si="0"/>
        <v>6. 
Fortschritte konsolidieren &amp; fortfahren</v>
      </c>
      <c r="B11" s="7"/>
      <c r="C11" s="8" t="s">
        <v>1853</v>
      </c>
      <c r="D11" s="8" t="s">
        <v>1858</v>
      </c>
      <c r="E11" s="8" t="s">
        <v>2047</v>
      </c>
      <c r="F11" s="8"/>
      <c r="G11" s="23" t="s">
        <v>17</v>
      </c>
      <c r="J11" s="9"/>
    </row>
    <row r="12" spans="1:26" ht="28.8" x14ac:dyDescent="0.25">
      <c r="A12" s="6" t="str">
        <f t="shared" ca="1" si="0"/>
        <v>7. 
Verhalten in Kultur verankern</v>
      </c>
      <c r="B12" s="7"/>
      <c r="C12" s="8" t="s">
        <v>1854</v>
      </c>
      <c r="D12" s="8" t="s">
        <v>1859</v>
      </c>
      <c r="E12" s="8" t="s">
        <v>2048</v>
      </c>
      <c r="F12" s="8"/>
      <c r="G12" s="23" t="s">
        <v>17</v>
      </c>
      <c r="J12" s="9"/>
    </row>
    <row r="13" spans="1:26" x14ac:dyDescent="0.25">
      <c r="A13" s="6" t="str">
        <f t="shared" ca="1" si="0"/>
        <v>Leadership</v>
      </c>
      <c r="B13" s="7"/>
      <c r="C13" s="8" t="s">
        <v>1442</v>
      </c>
      <c r="D13" s="8" t="s">
        <v>1442</v>
      </c>
      <c r="E13" s="8" t="s">
        <v>1442</v>
      </c>
      <c r="F13" s="8"/>
      <c r="G13" s="23" t="s">
        <v>17</v>
      </c>
      <c r="J13" s="9"/>
    </row>
    <row r="14" spans="1:26" x14ac:dyDescent="0.25">
      <c r="A14" s="6" t="str">
        <f t="shared" ca="1" si="0"/>
        <v>Struktur</v>
      </c>
      <c r="B14" s="7"/>
      <c r="C14" s="8" t="s">
        <v>1397</v>
      </c>
      <c r="D14" s="8" t="s">
        <v>1860</v>
      </c>
      <c r="E14" s="8" t="s">
        <v>1860</v>
      </c>
      <c r="F14" s="8"/>
      <c r="G14" s="23" t="s">
        <v>17</v>
      </c>
      <c r="J14" s="9"/>
    </row>
    <row r="15" spans="1:26" x14ac:dyDescent="0.25">
      <c r="A15" s="6" t="str">
        <f t="shared" ca="1" si="0"/>
        <v>Systeme</v>
      </c>
      <c r="B15" s="7"/>
      <c r="C15" s="8" t="s">
        <v>1398</v>
      </c>
      <c r="D15" s="8" t="s">
        <v>1861</v>
      </c>
      <c r="E15" s="8" t="s">
        <v>2041</v>
      </c>
      <c r="F15" s="8"/>
      <c r="G15" s="23" t="s">
        <v>17</v>
      </c>
      <c r="J15" s="9"/>
    </row>
    <row r="16" spans="1:26" x14ac:dyDescent="0.25">
      <c r="A16" s="6" t="str">
        <f t="shared" ca="1" si="0"/>
        <v>Prozesse</v>
      </c>
      <c r="B16" s="7"/>
      <c r="C16" s="7" t="s">
        <v>598</v>
      </c>
      <c r="D16" s="7" t="s">
        <v>468</v>
      </c>
      <c r="E16" s="7" t="s">
        <v>2042</v>
      </c>
      <c r="F16" s="7"/>
      <c r="G16" s="23" t="s">
        <v>17</v>
      </c>
      <c r="J16" s="9"/>
    </row>
    <row r="17" spans="1:26" x14ac:dyDescent="0.25">
      <c r="A17" s="6" t="str">
        <f t="shared" ca="1" si="0"/>
        <v>Personal</v>
      </c>
      <c r="B17" s="7"/>
      <c r="C17" s="8" t="s">
        <v>48</v>
      </c>
      <c r="D17" s="8" t="s">
        <v>1862</v>
      </c>
      <c r="E17" s="8" t="s">
        <v>1862</v>
      </c>
      <c r="F17" s="8"/>
      <c r="G17" s="23" t="s">
        <v>17</v>
      </c>
      <c r="J17" s="9"/>
    </row>
    <row r="18" spans="1:26" x14ac:dyDescent="0.25">
      <c r="A18" s="6" t="str">
        <f t="shared" ca="1" si="0"/>
        <v>Kompe-tenzen</v>
      </c>
      <c r="B18" s="7"/>
      <c r="C18" s="8" t="s">
        <v>1399</v>
      </c>
      <c r="D18" s="8" t="s">
        <v>1863</v>
      </c>
      <c r="E18" s="8" t="s">
        <v>2098</v>
      </c>
      <c r="F18" s="8"/>
      <c r="G18" s="23" t="s">
        <v>17</v>
      </c>
      <c r="J18" s="9"/>
    </row>
    <row r="19" spans="1:26" x14ac:dyDescent="0.25">
      <c r="A19" s="6" t="str">
        <f t="shared" ca="1" si="0"/>
        <v>Kommuni-kation</v>
      </c>
      <c r="B19" s="7"/>
      <c r="C19" s="8" t="s">
        <v>1400</v>
      </c>
      <c r="D19" s="8" t="s">
        <v>1864</v>
      </c>
      <c r="E19" s="8" t="s">
        <v>1864</v>
      </c>
      <c r="F19" s="24"/>
      <c r="G19" s="23" t="s">
        <v>17</v>
      </c>
      <c r="J19" s="9"/>
    </row>
    <row r="20" spans="1:26" x14ac:dyDescent="0.25">
      <c r="A20" s="6" t="str">
        <f t="shared" ca="1" si="0"/>
        <v>Auftauen (Unfreezing)</v>
      </c>
      <c r="B20" s="7"/>
      <c r="C20" s="8" t="s">
        <v>1401</v>
      </c>
      <c r="D20" s="8" t="s">
        <v>1885</v>
      </c>
      <c r="E20" s="8" t="s">
        <v>2049</v>
      </c>
      <c r="F20" s="8"/>
      <c r="G20" s="23" t="s">
        <v>17</v>
      </c>
      <c r="J20" s="9"/>
    </row>
    <row r="21" spans="1:26" x14ac:dyDescent="0.25">
      <c r="A21" s="6" t="str">
        <f t="shared" ca="1" si="0"/>
        <v>Verändern (Moving)</v>
      </c>
      <c r="B21" s="7"/>
      <c r="C21" s="8" t="s">
        <v>1412</v>
      </c>
      <c r="D21" s="8" t="s">
        <v>1866</v>
      </c>
      <c r="E21" s="8" t="s">
        <v>2050</v>
      </c>
      <c r="F21" s="8"/>
      <c r="G21" s="23" t="s">
        <v>17</v>
      </c>
      <c r="J21" s="9"/>
    </row>
    <row r="22" spans="1:26" x14ac:dyDescent="0.25">
      <c r="A22" s="25" t="str">
        <f t="shared" ca="1" si="0"/>
        <v>Stabilisieren (Refreezing)</v>
      </c>
      <c r="B22" s="7"/>
      <c r="C22" s="26" t="s">
        <v>1402</v>
      </c>
      <c r="D22" s="26" t="s">
        <v>1865</v>
      </c>
      <c r="E22" s="26" t="s">
        <v>2051</v>
      </c>
      <c r="F22" s="26"/>
      <c r="G22" s="27" t="s">
        <v>17</v>
      </c>
      <c r="J22" s="9"/>
    </row>
    <row r="23" spans="1:26" s="53" customFormat="1" ht="13.8" x14ac:dyDescent="0.3">
      <c r="A23" s="49" t="str">
        <f t="shared" ca="1" si="0"/>
        <v>Ihr Logo:</v>
      </c>
      <c r="B23" s="50"/>
      <c r="C23" s="51" t="s">
        <v>2099</v>
      </c>
      <c r="D23" s="51" t="s">
        <v>2100</v>
      </c>
      <c r="E23" s="51" t="s">
        <v>2101</v>
      </c>
      <c r="F23" s="51" t="s">
        <v>2102</v>
      </c>
      <c r="G23" s="52"/>
      <c r="I23" s="54"/>
      <c r="J23" s="2"/>
      <c r="K23" s="54"/>
      <c r="Z23" s="55"/>
    </row>
    <row r="24" spans="1:26" s="19" customFormat="1" x14ac:dyDescent="0.25">
      <c r="A24" s="16" t="str">
        <f t="shared" ca="1" si="0"/>
        <v>Phasen nach K. Lewin</v>
      </c>
      <c r="B24" s="17"/>
      <c r="C24" s="16" t="s">
        <v>1829</v>
      </c>
      <c r="D24" s="16" t="s">
        <v>1830</v>
      </c>
      <c r="E24" s="16" t="s">
        <v>2052</v>
      </c>
      <c r="F24" s="16"/>
      <c r="G24" s="18" t="s">
        <v>17</v>
      </c>
      <c r="I24" s="9"/>
      <c r="Z24" s="3"/>
    </row>
    <row r="25" spans="1:26" x14ac:dyDescent="0.25">
      <c r="A25" s="20" t="str">
        <f t="shared" ca="1" si="0"/>
        <v>CHANGE KULTUR</v>
      </c>
      <c r="B25" s="7"/>
      <c r="C25" s="28" t="s">
        <v>1832</v>
      </c>
      <c r="D25" s="28" t="s">
        <v>1831</v>
      </c>
      <c r="E25" s="28" t="s">
        <v>2053</v>
      </c>
      <c r="F25" s="28"/>
      <c r="G25" s="22" t="s">
        <v>17</v>
      </c>
      <c r="J25" s="9"/>
    </row>
    <row r="26" spans="1:26" x14ac:dyDescent="0.25">
      <c r="A26" s="6" t="str">
        <f t="shared" ca="1" si="0"/>
        <v>Bereitschaft für Veränderungen schaffen</v>
      </c>
      <c r="B26" s="7"/>
      <c r="C26" s="8" t="s">
        <v>1833</v>
      </c>
      <c r="D26" s="8" t="s">
        <v>1869</v>
      </c>
      <c r="E26" s="8" t="s">
        <v>2054</v>
      </c>
      <c r="F26" s="8"/>
      <c r="G26" s="23" t="s">
        <v>17</v>
      </c>
      <c r="J26" s="9"/>
    </row>
    <row r="27" spans="1:26" x14ac:dyDescent="0.25">
      <c r="A27" s="6" t="str">
        <f t="shared" ca="1" si="0"/>
        <v>Umsetzung der vereinbarten Ziele</v>
      </c>
      <c r="B27" s="7"/>
      <c r="C27" s="8" t="s">
        <v>1834</v>
      </c>
      <c r="D27" s="8" t="s">
        <v>1870</v>
      </c>
      <c r="E27" s="8" t="s">
        <v>2055</v>
      </c>
      <c r="F27" s="8"/>
      <c r="G27" s="23" t="s">
        <v>17</v>
      </c>
      <c r="J27" s="9"/>
    </row>
    <row r="28" spans="1:26" x14ac:dyDescent="0.25">
      <c r="A28" s="6" t="str">
        <f t="shared" ca="1" si="0"/>
        <v>Stabilisieren der implementierten Lösung</v>
      </c>
      <c r="B28" s="7"/>
      <c r="C28" s="8" t="s">
        <v>1835</v>
      </c>
      <c r="D28" s="8" t="s">
        <v>1875</v>
      </c>
      <c r="E28" s="8" t="s">
        <v>2056</v>
      </c>
      <c r="F28" s="8"/>
      <c r="G28" s="23" t="s">
        <v>17</v>
      </c>
      <c r="J28" s="9"/>
    </row>
    <row r="29" spans="1:26" x14ac:dyDescent="0.25">
      <c r="A29" s="6" t="str">
        <f t="shared" ca="1" si="0"/>
        <v>sensibilisieren</v>
      </c>
      <c r="B29" s="7"/>
      <c r="C29" s="8" t="s">
        <v>1836</v>
      </c>
      <c r="D29" s="8" t="s">
        <v>1871</v>
      </c>
      <c r="E29" s="8" t="s">
        <v>2057</v>
      </c>
      <c r="F29" s="8"/>
      <c r="G29" s="23" t="s">
        <v>17</v>
      </c>
      <c r="J29" s="9"/>
    </row>
    <row r="30" spans="1:26" x14ac:dyDescent="0.25">
      <c r="A30" s="6" t="str">
        <f t="shared" ca="1" si="0"/>
        <v>konzipieren</v>
      </c>
      <c r="B30" s="7"/>
      <c r="C30" s="8" t="s">
        <v>1837</v>
      </c>
      <c r="D30" s="8" t="s">
        <v>1872</v>
      </c>
      <c r="E30" s="8" t="s">
        <v>2058</v>
      </c>
      <c r="F30" s="8"/>
      <c r="G30" s="23" t="s">
        <v>17</v>
      </c>
      <c r="J30" s="9"/>
    </row>
    <row r="31" spans="1:26" x14ac:dyDescent="0.25">
      <c r="A31" s="6" t="str">
        <f t="shared" ca="1" si="0"/>
        <v>mobilisieren</v>
      </c>
      <c r="B31" s="7"/>
      <c r="C31" s="8" t="s">
        <v>1838</v>
      </c>
      <c r="D31" s="8" t="s">
        <v>1873</v>
      </c>
      <c r="E31" s="8" t="s">
        <v>2059</v>
      </c>
      <c r="F31" s="8"/>
      <c r="G31" s="23" t="s">
        <v>17</v>
      </c>
      <c r="J31" s="9"/>
    </row>
    <row r="32" spans="1:26" x14ac:dyDescent="0.25">
      <c r="A32" s="6" t="str">
        <f t="shared" ca="1" si="0"/>
        <v>implementieren</v>
      </c>
      <c r="B32" s="7"/>
      <c r="C32" s="8" t="s">
        <v>1839</v>
      </c>
      <c r="D32" s="8" t="s">
        <v>1874</v>
      </c>
      <c r="E32" s="8" t="s">
        <v>2060</v>
      </c>
      <c r="F32" s="8"/>
      <c r="G32" s="23" t="s">
        <v>17</v>
      </c>
      <c r="J32" s="9"/>
    </row>
    <row r="33" spans="1:26" x14ac:dyDescent="0.25">
      <c r="A33" s="25" t="str">
        <f t="shared" ca="1" si="0"/>
        <v>konsolidieren</v>
      </c>
      <c r="B33" s="7"/>
      <c r="C33" s="26" t="s">
        <v>1840</v>
      </c>
      <c r="D33" s="26" t="s">
        <v>1876</v>
      </c>
      <c r="E33" s="26" t="s">
        <v>2061</v>
      </c>
      <c r="F33" s="26"/>
      <c r="G33" s="27" t="s">
        <v>17</v>
      </c>
      <c r="J33" s="9"/>
    </row>
    <row r="34" spans="1:26" s="19" customFormat="1" x14ac:dyDescent="0.25">
      <c r="A34" s="16" t="str">
        <f t="shared" ca="1" si="0"/>
        <v>P E R S O N A L</v>
      </c>
      <c r="B34" s="17"/>
      <c r="C34" s="16" t="s">
        <v>1413</v>
      </c>
      <c r="D34" s="16" t="s">
        <v>2040</v>
      </c>
      <c r="E34" s="16" t="s">
        <v>2062</v>
      </c>
      <c r="F34" s="16"/>
      <c r="G34" s="18" t="s">
        <v>17</v>
      </c>
      <c r="I34" s="9"/>
      <c r="Z34" s="3"/>
    </row>
    <row r="35" spans="1:26" x14ac:dyDescent="0.25">
      <c r="A35" s="20" t="str">
        <f t="shared" ca="1" si="0"/>
        <v>Person oder Gruppe</v>
      </c>
      <c r="B35" s="7"/>
      <c r="C35" s="28" t="s">
        <v>1434</v>
      </c>
      <c r="D35" s="28" t="s">
        <v>1435</v>
      </c>
      <c r="E35" s="28" t="s">
        <v>2063</v>
      </c>
      <c r="F35" s="28"/>
      <c r="G35" s="22" t="s">
        <v>17</v>
      </c>
      <c r="J35" s="9"/>
    </row>
    <row r="36" spans="1:26" x14ac:dyDescent="0.25">
      <c r="A36" s="6" t="str">
        <f t="shared" ca="1" si="0"/>
        <v>Bereitschaft zur Erneuerung</v>
      </c>
      <c r="B36" s="7"/>
      <c r="C36" s="8" t="s">
        <v>1437</v>
      </c>
      <c r="D36" s="8" t="s">
        <v>1877</v>
      </c>
      <c r="E36" s="8" t="s">
        <v>2064</v>
      </c>
      <c r="F36" s="8"/>
      <c r="G36" s="23" t="s">
        <v>17</v>
      </c>
      <c r="J36" s="9"/>
    </row>
    <row r="37" spans="1:26" x14ac:dyDescent="0.25">
      <c r="A37" s="6" t="str">
        <f t="shared" ca="1" si="0"/>
        <v>Zufriedenheit</v>
      </c>
      <c r="B37" s="7"/>
      <c r="C37" s="8" t="s">
        <v>1436</v>
      </c>
      <c r="D37" s="8" t="s">
        <v>1878</v>
      </c>
      <c r="E37" s="8" t="s">
        <v>1878</v>
      </c>
      <c r="F37" s="8"/>
      <c r="G37" s="23" t="s">
        <v>17</v>
      </c>
      <c r="J37" s="9"/>
    </row>
    <row r="38" spans="1:26" x14ac:dyDescent="0.25">
      <c r="A38" s="6" t="str">
        <f t="shared" ref="A38:A69" ca="1" si="1">OFFSET($C38,0,$Z$5-1)</f>
        <v>Motivation</v>
      </c>
      <c r="C38" s="9" t="s">
        <v>1441</v>
      </c>
      <c r="D38" s="9" t="s">
        <v>1441</v>
      </c>
      <c r="E38" s="9" t="s">
        <v>1441</v>
      </c>
      <c r="G38" s="29" t="s">
        <v>17</v>
      </c>
      <c r="J38" s="9"/>
    </row>
    <row r="39" spans="1:26" x14ac:dyDescent="0.25">
      <c r="A39" s="6" t="str">
        <f t="shared" ca="1" si="1"/>
        <v>Anzahl</v>
      </c>
      <c r="B39" s="7"/>
      <c r="C39" s="8" t="s">
        <v>428</v>
      </c>
      <c r="D39" s="8" t="s">
        <v>1815</v>
      </c>
      <c r="E39" s="8" t="s">
        <v>2065</v>
      </c>
      <c r="F39" s="8"/>
      <c r="G39" s="23" t="s">
        <v>17</v>
      </c>
      <c r="J39" s="9"/>
    </row>
    <row r="40" spans="1:26" x14ac:dyDescent="0.25">
      <c r="A40" s="6" t="str">
        <f t="shared" ca="1" si="1"/>
        <v>Bemerkungen</v>
      </c>
      <c r="B40" s="7"/>
      <c r="C40" s="8" t="s">
        <v>43</v>
      </c>
      <c r="D40" s="8" t="s">
        <v>44</v>
      </c>
      <c r="E40" s="8" t="s">
        <v>1049</v>
      </c>
      <c r="F40" s="8" t="s">
        <v>1085</v>
      </c>
      <c r="G40" s="23" t="s">
        <v>17</v>
      </c>
      <c r="J40" s="9"/>
    </row>
    <row r="41" spans="1:26" x14ac:dyDescent="0.25">
      <c r="A41" s="6" t="str">
        <f t="shared" ca="1" si="1"/>
        <v>Status</v>
      </c>
      <c r="B41" s="7"/>
      <c r="C41" s="7" t="s">
        <v>32</v>
      </c>
      <c r="D41" s="7" t="s">
        <v>33</v>
      </c>
      <c r="E41" s="7" t="s">
        <v>32</v>
      </c>
      <c r="F41" s="7" t="s">
        <v>1112</v>
      </c>
      <c r="G41" s="23" t="s">
        <v>17</v>
      </c>
      <c r="J41" s="9"/>
    </row>
    <row r="42" spans="1:26" x14ac:dyDescent="0.25">
      <c r="A42" s="6" t="str">
        <f t="shared" ca="1" si="1"/>
        <v>hoch</v>
      </c>
      <c r="B42" s="7"/>
      <c r="C42" s="7" t="s">
        <v>26</v>
      </c>
      <c r="D42" s="7" t="s">
        <v>55</v>
      </c>
      <c r="E42" s="7" t="s">
        <v>1091</v>
      </c>
      <c r="F42" s="7" t="s">
        <v>1092</v>
      </c>
      <c r="G42" s="23" t="s">
        <v>17</v>
      </c>
      <c r="J42" s="9"/>
    </row>
    <row r="43" spans="1:26" x14ac:dyDescent="0.25">
      <c r="A43" s="6" t="str">
        <f t="shared" ca="1" si="1"/>
        <v>gering</v>
      </c>
      <c r="B43" s="7"/>
      <c r="C43" s="7" t="s">
        <v>27</v>
      </c>
      <c r="D43" s="7" t="s">
        <v>58</v>
      </c>
      <c r="E43" s="7" t="s">
        <v>1095</v>
      </c>
      <c r="F43" s="7" t="s">
        <v>1096</v>
      </c>
      <c r="G43" s="23" t="s">
        <v>17</v>
      </c>
      <c r="J43" s="9"/>
    </row>
    <row r="44" spans="1:26" x14ac:dyDescent="0.25">
      <c r="A44" s="6" t="str">
        <f t="shared" ca="1" si="1"/>
        <v>Erneuerung</v>
      </c>
      <c r="B44" s="7"/>
      <c r="C44" s="8" t="s">
        <v>1438</v>
      </c>
      <c r="D44" s="8" t="s">
        <v>1879</v>
      </c>
      <c r="E44" s="8" t="s">
        <v>2066</v>
      </c>
      <c r="F44" s="8"/>
      <c r="G44" s="23" t="s">
        <v>17</v>
      </c>
      <c r="J44" s="9"/>
    </row>
    <row r="45" spans="1:26" x14ac:dyDescent="0.25">
      <c r="A45" s="6" t="str">
        <f t="shared" ca="1" si="1"/>
        <v>Verwirrung</v>
      </c>
      <c r="B45" s="7"/>
      <c r="C45" s="8" t="s">
        <v>1439</v>
      </c>
      <c r="D45" s="8" t="s">
        <v>1880</v>
      </c>
      <c r="E45" s="8" t="s">
        <v>1880</v>
      </c>
      <c r="F45" s="8"/>
      <c r="G45" s="23" t="s">
        <v>17</v>
      </c>
      <c r="J45" s="9"/>
    </row>
    <row r="46" spans="1:26" x14ac:dyDescent="0.25">
      <c r="A46" s="6" t="str">
        <f t="shared" ca="1" si="1"/>
        <v>Verleugnung</v>
      </c>
      <c r="B46" s="7"/>
      <c r="C46" s="8" t="s">
        <v>1440</v>
      </c>
      <c r="D46" s="8" t="s">
        <v>1881</v>
      </c>
      <c r="E46" s="8" t="s">
        <v>2067</v>
      </c>
      <c r="F46" s="8"/>
      <c r="G46" s="23" t="s">
        <v>17</v>
      </c>
      <c r="J46" s="9"/>
    </row>
    <row r="47" spans="1:26" x14ac:dyDescent="0.25">
      <c r="A47" s="25" t="str">
        <f t="shared" ca="1" si="1"/>
        <v>Zufriedenheit</v>
      </c>
      <c r="B47" s="7"/>
      <c r="C47" s="26" t="s">
        <v>1436</v>
      </c>
      <c r="D47" s="26" t="s">
        <v>1878</v>
      </c>
      <c r="E47" s="26" t="s">
        <v>1878</v>
      </c>
      <c r="F47" s="26"/>
      <c r="G47" s="27" t="s">
        <v>17</v>
      </c>
      <c r="J47" s="9"/>
    </row>
    <row r="48" spans="1:26" s="19" customFormat="1" ht="28.8" x14ac:dyDescent="0.25">
      <c r="A48" s="16" t="str">
        <f t="shared" ca="1" si="1"/>
        <v>C H A N G E   I S   A   P R O C E S S   N O T    A N   E V E N T</v>
      </c>
      <c r="B48" s="17"/>
      <c r="C48" s="16" t="s">
        <v>1444</v>
      </c>
      <c r="D48" s="16" t="s">
        <v>1444</v>
      </c>
      <c r="E48" s="16" t="s">
        <v>1444</v>
      </c>
      <c r="F48" s="16"/>
      <c r="G48" s="18" t="s">
        <v>17</v>
      </c>
      <c r="I48" s="9"/>
      <c r="Z48" s="3"/>
    </row>
    <row r="49" spans="1:10" ht="72" x14ac:dyDescent="0.25">
      <c r="A49" s="20" t="str">
        <f t="shared" ca="1" si="1"/>
        <v>« Überlebenskrise » als Auslöser
Geringe Partizipation der MA
Ökonomische Effizienz
radikal
schnell</v>
      </c>
      <c r="B49" s="7"/>
      <c r="C49" s="28" t="s">
        <v>1445</v>
      </c>
      <c r="D49" s="28" t="s">
        <v>1886</v>
      </c>
      <c r="E49" s="28" t="s">
        <v>2069</v>
      </c>
      <c r="F49" s="28"/>
      <c r="G49" s="22" t="s">
        <v>17</v>
      </c>
      <c r="J49" s="9"/>
    </row>
    <row r="50" spans="1:10" ht="72" x14ac:dyDescent="0.25">
      <c r="A50" s="6" t="str">
        <f t="shared" ca="1" si="1"/>
        <v>langsam
evolutionär
Soziale Effizienz
Hohe Partizipation der MA
Strategische Krise/Wunsch als Auslöser</v>
      </c>
      <c r="B50" s="7"/>
      <c r="C50" s="8" t="s">
        <v>1446</v>
      </c>
      <c r="D50" s="8" t="s">
        <v>1882</v>
      </c>
      <c r="E50" s="8" t="s">
        <v>2070</v>
      </c>
      <c r="F50" s="8"/>
      <c r="G50" s="23" t="s">
        <v>17</v>
      </c>
      <c r="J50" s="9"/>
    </row>
    <row r="51" spans="1:10" x14ac:dyDescent="0.25">
      <c r="A51" s="6" t="str">
        <f t="shared" ca="1" si="1"/>
        <v>Organisationsentwicklung</v>
      </c>
      <c r="B51" s="7"/>
      <c r="C51" s="7" t="s">
        <v>1884</v>
      </c>
      <c r="D51" s="7" t="s">
        <v>1883</v>
      </c>
      <c r="E51" s="7" t="s">
        <v>2068</v>
      </c>
      <c r="F51" s="7"/>
      <c r="G51" s="23" t="s">
        <v>17</v>
      </c>
      <c r="J51" s="9"/>
    </row>
    <row r="52" spans="1:10" x14ac:dyDescent="0.25">
      <c r="A52" s="6" t="str">
        <f t="shared" ca="1" si="1"/>
        <v>Risiken</v>
      </c>
      <c r="B52" s="7"/>
      <c r="C52" s="8" t="s">
        <v>1679</v>
      </c>
      <c r="D52" s="8" t="s">
        <v>1676</v>
      </c>
      <c r="E52" s="8" t="s">
        <v>1677</v>
      </c>
      <c r="F52" s="8"/>
      <c r="G52" s="23" t="s">
        <v>17</v>
      </c>
      <c r="J52" s="9"/>
    </row>
    <row r="53" spans="1:10" x14ac:dyDescent="0.25">
      <c r="A53" s="6" t="str">
        <f t="shared" ca="1" si="1"/>
        <v>SWOT</v>
      </c>
      <c r="B53" s="7"/>
      <c r="C53" s="8" t="s">
        <v>1678</v>
      </c>
      <c r="D53" s="8" t="s">
        <v>1678</v>
      </c>
      <c r="E53" s="8" t="s">
        <v>1678</v>
      </c>
      <c r="F53" s="8"/>
      <c r="G53" s="23" t="s">
        <v>17</v>
      </c>
      <c r="J53" s="9"/>
    </row>
    <row r="54" spans="1:10" x14ac:dyDescent="0.25">
      <c r="A54" s="6" t="str">
        <f t="shared" ca="1" si="1"/>
        <v>Benchmark</v>
      </c>
      <c r="B54" s="7"/>
      <c r="C54" s="8" t="s">
        <v>1680</v>
      </c>
      <c r="D54" s="8" t="s">
        <v>1680</v>
      </c>
      <c r="E54" s="8" t="s">
        <v>1680</v>
      </c>
      <c r="F54" s="8"/>
      <c r="G54" s="23" t="s">
        <v>17</v>
      </c>
      <c r="J54" s="9"/>
    </row>
    <row r="55" spans="1:10" x14ac:dyDescent="0.25">
      <c r="A55" s="6" t="str">
        <f t="shared" ca="1" si="1"/>
        <v>Reklamationen</v>
      </c>
      <c r="B55" s="7"/>
      <c r="C55" s="8" t="s">
        <v>548</v>
      </c>
      <c r="D55" s="8" t="s">
        <v>547</v>
      </c>
      <c r="E55" s="8" t="s">
        <v>1311</v>
      </c>
      <c r="F55" s="8"/>
      <c r="G55" s="23" t="s">
        <v>17</v>
      </c>
      <c r="J55" s="9"/>
    </row>
    <row r="56" spans="1:10" x14ac:dyDescent="0.25">
      <c r="A56" s="6" t="str">
        <f t="shared" ca="1" si="1"/>
        <v>Fehler</v>
      </c>
      <c r="B56" s="7"/>
      <c r="C56" s="8" t="s">
        <v>519</v>
      </c>
      <c r="D56" s="8" t="s">
        <v>520</v>
      </c>
      <c r="E56" s="8" t="s">
        <v>1306</v>
      </c>
      <c r="F56" s="8"/>
      <c r="G56" s="23" t="s">
        <v>17</v>
      </c>
      <c r="J56" s="9"/>
    </row>
    <row r="57" spans="1:10" x14ac:dyDescent="0.25">
      <c r="A57" s="25" t="str">
        <f t="shared" ca="1" si="1"/>
        <v>Trends</v>
      </c>
      <c r="B57" s="7"/>
      <c r="C57" s="26" t="s">
        <v>1683</v>
      </c>
      <c r="D57" s="26" t="s">
        <v>1684</v>
      </c>
      <c r="E57" s="26" t="s">
        <v>1683</v>
      </c>
      <c r="F57" s="26"/>
      <c r="G57" s="27" t="s">
        <v>17</v>
      </c>
      <c r="J57" s="9"/>
    </row>
    <row r="58" spans="1:10" x14ac:dyDescent="0.25">
      <c r="A58" s="16" t="str">
        <f t="shared" ca="1" si="1"/>
        <v>A N P A S S U N G   D E R   P R O Z E S S E</v>
      </c>
      <c r="B58" s="17"/>
      <c r="C58" s="16" t="s">
        <v>1447</v>
      </c>
      <c r="D58" s="16" t="s">
        <v>1448</v>
      </c>
      <c r="E58" s="16" t="s">
        <v>2073</v>
      </c>
      <c r="F58" s="16"/>
      <c r="G58" s="18" t="s">
        <v>17</v>
      </c>
      <c r="J58" s="9"/>
    </row>
    <row r="59" spans="1:10" x14ac:dyDescent="0.25">
      <c r="A59" s="20" t="str">
        <f t="shared" ca="1" si="1"/>
        <v>Prozess</v>
      </c>
      <c r="B59" s="7"/>
      <c r="C59" s="28" t="s">
        <v>454</v>
      </c>
      <c r="D59" s="28" t="s">
        <v>468</v>
      </c>
      <c r="E59" s="28" t="s">
        <v>1073</v>
      </c>
      <c r="F59" s="28"/>
      <c r="G59" s="22" t="s">
        <v>17</v>
      </c>
      <c r="J59" s="9"/>
    </row>
    <row r="60" spans="1:10" x14ac:dyDescent="0.25">
      <c r="A60" s="6" t="str">
        <f t="shared" ca="1" si="1"/>
        <v>Anpassungen</v>
      </c>
      <c r="B60" s="7"/>
      <c r="C60" s="8" t="s">
        <v>1451</v>
      </c>
      <c r="D60" s="8" t="s">
        <v>1452</v>
      </c>
      <c r="E60" s="8" t="s">
        <v>1452</v>
      </c>
      <c r="F60" s="8"/>
      <c r="G60" s="23" t="s">
        <v>17</v>
      </c>
      <c r="J60" s="9"/>
    </row>
    <row r="61" spans="1:10" x14ac:dyDescent="0.25">
      <c r="A61" s="6" t="str">
        <f t="shared" ca="1" si="1"/>
        <v>Priorität</v>
      </c>
      <c r="B61" s="7"/>
      <c r="C61" s="8" t="s">
        <v>1449</v>
      </c>
      <c r="D61" s="8" t="s">
        <v>1450</v>
      </c>
      <c r="E61" s="8" t="s">
        <v>2074</v>
      </c>
      <c r="F61" s="8"/>
      <c r="G61" s="23" t="s">
        <v>17</v>
      </c>
      <c r="J61" s="9"/>
    </row>
    <row r="62" spans="1:10" x14ac:dyDescent="0.25">
      <c r="A62" s="6" t="str">
        <f t="shared" ca="1" si="1"/>
        <v>Datum</v>
      </c>
      <c r="B62" s="7"/>
      <c r="C62" s="8" t="s">
        <v>809</v>
      </c>
      <c r="D62" s="8" t="s">
        <v>810</v>
      </c>
      <c r="E62" s="8" t="s">
        <v>810</v>
      </c>
      <c r="F62" s="8"/>
      <c r="G62" s="23" t="s">
        <v>17</v>
      </c>
      <c r="J62" s="9"/>
    </row>
    <row r="63" spans="1:10" x14ac:dyDescent="0.25">
      <c r="A63" s="6" t="str">
        <f t="shared" ca="1" si="1"/>
        <v>Kunden-nutzen</v>
      </c>
      <c r="B63" s="7"/>
      <c r="C63" s="8" t="s">
        <v>595</v>
      </c>
      <c r="D63" s="8" t="s">
        <v>1887</v>
      </c>
      <c r="E63" s="8" t="s">
        <v>2075</v>
      </c>
      <c r="F63" s="8"/>
      <c r="G63" s="23" t="s">
        <v>17</v>
      </c>
      <c r="J63" s="9"/>
    </row>
    <row r="64" spans="1:10" x14ac:dyDescent="0.25">
      <c r="A64" s="25" t="str">
        <f t="shared" ca="1" si="1"/>
        <v>Status</v>
      </c>
      <c r="B64" s="7"/>
      <c r="C64" s="26" t="s">
        <v>32</v>
      </c>
      <c r="D64" s="26" t="s">
        <v>33</v>
      </c>
      <c r="E64" s="26" t="s">
        <v>32</v>
      </c>
      <c r="F64" s="26"/>
      <c r="G64" s="27" t="s">
        <v>17</v>
      </c>
      <c r="J64" s="9"/>
    </row>
    <row r="65" spans="1:10" x14ac:dyDescent="0.25">
      <c r="A65" s="16" t="str">
        <f t="shared" ca="1" si="1"/>
        <v>A N P A S S U N G   D E R   S T R U K T U R E N</v>
      </c>
      <c r="B65" s="17"/>
      <c r="C65" s="16" t="s">
        <v>1453</v>
      </c>
      <c r="D65" s="16" t="s">
        <v>1454</v>
      </c>
      <c r="E65" s="16" t="s">
        <v>2076</v>
      </c>
      <c r="F65" s="16"/>
      <c r="G65" s="18" t="s">
        <v>17</v>
      </c>
      <c r="J65" s="9"/>
    </row>
    <row r="66" spans="1:10" x14ac:dyDescent="0.25">
      <c r="A66" s="20" t="str">
        <f t="shared" ca="1" si="1"/>
        <v>Bezeichnung</v>
      </c>
      <c r="B66" s="7"/>
      <c r="C66" s="21" t="s">
        <v>696</v>
      </c>
      <c r="D66" s="21" t="s">
        <v>697</v>
      </c>
      <c r="E66" s="21" t="s">
        <v>1261</v>
      </c>
      <c r="F66" s="21"/>
      <c r="G66" s="22" t="s">
        <v>17</v>
      </c>
      <c r="J66" s="9"/>
    </row>
    <row r="67" spans="1:10" x14ac:dyDescent="0.25">
      <c r="A67" s="6" t="str">
        <f t="shared" ca="1" si="1"/>
        <v>Anpassungen</v>
      </c>
      <c r="B67" s="7"/>
      <c r="C67" s="8" t="s">
        <v>1451</v>
      </c>
      <c r="D67" s="8" t="s">
        <v>1452</v>
      </c>
      <c r="E67" s="8" t="s">
        <v>1452</v>
      </c>
      <c r="F67" s="8"/>
      <c r="G67" s="23" t="s">
        <v>17</v>
      </c>
      <c r="J67" s="9"/>
    </row>
    <row r="68" spans="1:10" x14ac:dyDescent="0.25">
      <c r="A68" s="6" t="str">
        <f t="shared" ca="1" si="1"/>
        <v>Priorität</v>
      </c>
      <c r="B68" s="7"/>
      <c r="C68" s="8" t="s">
        <v>1449</v>
      </c>
      <c r="D68" s="8" t="s">
        <v>1450</v>
      </c>
      <c r="E68" s="8" t="s">
        <v>2074</v>
      </c>
      <c r="F68" s="8"/>
      <c r="G68" s="23" t="s">
        <v>17</v>
      </c>
      <c r="J68" s="9"/>
    </row>
    <row r="69" spans="1:10" x14ac:dyDescent="0.25">
      <c r="A69" s="6" t="str">
        <f t="shared" ca="1" si="1"/>
        <v>Datum</v>
      </c>
      <c r="B69" s="7"/>
      <c r="C69" s="8" t="s">
        <v>809</v>
      </c>
      <c r="D69" s="8" t="s">
        <v>810</v>
      </c>
      <c r="E69" s="8" t="s">
        <v>810</v>
      </c>
      <c r="F69" s="8"/>
      <c r="G69" s="23" t="s">
        <v>17</v>
      </c>
      <c r="J69" s="9"/>
    </row>
    <row r="70" spans="1:10" x14ac:dyDescent="0.25">
      <c r="A70" s="25" t="str">
        <f t="shared" ref="A70:A101" ca="1" si="2">OFFSET($C70,0,$Z$5-1)</f>
        <v>Mitarbeiter- Nutzen</v>
      </c>
      <c r="B70" s="7"/>
      <c r="C70" s="26" t="s">
        <v>1461</v>
      </c>
      <c r="D70" s="26" t="s">
        <v>1888</v>
      </c>
      <c r="E70" s="26" t="s">
        <v>2077</v>
      </c>
      <c r="F70" s="26"/>
      <c r="G70" s="27" t="s">
        <v>17</v>
      </c>
      <c r="J70" s="9"/>
    </row>
    <row r="71" spans="1:10" x14ac:dyDescent="0.25">
      <c r="A71" s="16" t="str">
        <f t="shared" ca="1" si="2"/>
        <v>A N P A S S U N G   D E R   S Y S T E M E</v>
      </c>
      <c r="B71" s="17"/>
      <c r="C71" s="16" t="s">
        <v>1462</v>
      </c>
      <c r="D71" s="16" t="s">
        <v>1463</v>
      </c>
      <c r="E71" s="16" t="s">
        <v>2078</v>
      </c>
      <c r="F71" s="16"/>
      <c r="G71" s="18" t="s">
        <v>17</v>
      </c>
      <c r="J71" s="9"/>
    </row>
    <row r="72" spans="1:10" x14ac:dyDescent="0.25">
      <c r="A72" s="20" t="str">
        <f t="shared" ca="1" si="2"/>
        <v>Bezeichnung</v>
      </c>
      <c r="B72" s="7"/>
      <c r="C72" s="21" t="s">
        <v>696</v>
      </c>
      <c r="D72" s="21" t="s">
        <v>697</v>
      </c>
      <c r="E72" s="21" t="s">
        <v>1261</v>
      </c>
      <c r="F72" s="21"/>
      <c r="G72" s="22" t="s">
        <v>17</v>
      </c>
      <c r="J72" s="9"/>
    </row>
    <row r="73" spans="1:10" x14ac:dyDescent="0.25">
      <c r="A73" s="6" t="str">
        <f t="shared" ca="1" si="2"/>
        <v>Anpassungen</v>
      </c>
      <c r="B73" s="7"/>
      <c r="C73" s="8" t="s">
        <v>1451</v>
      </c>
      <c r="D73" s="8" t="s">
        <v>1452</v>
      </c>
      <c r="E73" s="8" t="s">
        <v>1452</v>
      </c>
      <c r="F73" s="8"/>
      <c r="G73" s="23" t="s">
        <v>17</v>
      </c>
      <c r="J73" s="9"/>
    </row>
    <row r="74" spans="1:10" x14ac:dyDescent="0.25">
      <c r="A74" s="6" t="str">
        <f t="shared" ca="1" si="2"/>
        <v>Kunden-nutzen</v>
      </c>
      <c r="B74" s="7"/>
      <c r="C74" s="8" t="s">
        <v>595</v>
      </c>
      <c r="D74" s="8" t="s">
        <v>1887</v>
      </c>
      <c r="E74" s="8" t="s">
        <v>2079</v>
      </c>
      <c r="F74" s="8"/>
      <c r="G74" s="23" t="s">
        <v>17</v>
      </c>
      <c r="J74" s="9"/>
    </row>
    <row r="75" spans="1:10" x14ac:dyDescent="0.25">
      <c r="A75" s="25" t="str">
        <f t="shared" ca="1" si="2"/>
        <v>Datum</v>
      </c>
      <c r="B75" s="7"/>
      <c r="C75" s="26" t="s">
        <v>809</v>
      </c>
      <c r="D75" s="26" t="s">
        <v>810</v>
      </c>
      <c r="E75" s="26" t="s">
        <v>810</v>
      </c>
      <c r="F75" s="26"/>
      <c r="G75" s="27" t="s">
        <v>17</v>
      </c>
      <c r="J75" s="9"/>
    </row>
    <row r="76" spans="1:10" x14ac:dyDescent="0.25">
      <c r="A76" s="16" t="str">
        <f t="shared" ca="1" si="2"/>
        <v>E N T W I C K L U N G S T R E N D S</v>
      </c>
      <c r="B76" s="17"/>
      <c r="C76" s="16" t="s">
        <v>1681</v>
      </c>
      <c r="D76" s="16" t="s">
        <v>1682</v>
      </c>
      <c r="E76" s="16" t="s">
        <v>2080</v>
      </c>
      <c r="F76" s="16"/>
      <c r="G76" s="18" t="s">
        <v>17</v>
      </c>
      <c r="J76" s="9"/>
    </row>
    <row r="77" spans="1:10" x14ac:dyDescent="0.25">
      <c r="A77" s="20" t="str">
        <f t="shared" ca="1" si="2"/>
        <v>Politische Trends</v>
      </c>
      <c r="B77" s="7"/>
      <c r="C77" s="21" t="s">
        <v>741</v>
      </c>
      <c r="D77" s="21" t="s">
        <v>742</v>
      </c>
      <c r="E77" s="21" t="s">
        <v>2081</v>
      </c>
      <c r="F77" s="21"/>
      <c r="G77" s="22" t="s">
        <v>17</v>
      </c>
      <c r="J77" s="9"/>
    </row>
    <row r="78" spans="1:10" x14ac:dyDescent="0.25">
      <c r="A78" s="6" t="str">
        <f t="shared" ca="1" si="2"/>
        <v>Nr.</v>
      </c>
      <c r="B78" s="7"/>
      <c r="C78" s="8" t="s">
        <v>28</v>
      </c>
      <c r="D78" s="8" t="s">
        <v>29</v>
      </c>
      <c r="E78" s="8" t="s">
        <v>29</v>
      </c>
      <c r="F78" s="8"/>
      <c r="G78" s="23" t="s">
        <v>17</v>
      </c>
      <c r="J78" s="9"/>
    </row>
    <row r="79" spans="1:10" x14ac:dyDescent="0.25">
      <c r="A79" s="6" t="str">
        <f t="shared" ca="1" si="2"/>
        <v>Einflussfaktoren</v>
      </c>
      <c r="B79" s="7"/>
      <c r="C79" s="8" t="s">
        <v>34</v>
      </c>
      <c r="D79" s="8" t="s">
        <v>35</v>
      </c>
      <c r="E79" s="8" t="s">
        <v>2082</v>
      </c>
      <c r="F79" s="8"/>
      <c r="G79" s="23" t="s">
        <v>17</v>
      </c>
      <c r="J79" s="9"/>
    </row>
    <row r="80" spans="1:10" x14ac:dyDescent="0.25">
      <c r="A80" s="6" t="str">
        <f t="shared" ca="1" si="2"/>
        <v>Auswirkungen</v>
      </c>
      <c r="B80" s="7"/>
      <c r="C80" s="8" t="s">
        <v>36</v>
      </c>
      <c r="D80" s="8" t="s">
        <v>37</v>
      </c>
      <c r="E80" s="8" t="s">
        <v>37</v>
      </c>
      <c r="F80" s="8"/>
      <c r="G80" s="23" t="s">
        <v>17</v>
      </c>
      <c r="J80" s="9"/>
    </row>
    <row r="81" spans="1:26" x14ac:dyDescent="0.25">
      <c r="A81" s="6" t="str">
        <f t="shared" ca="1" si="2"/>
        <v>Stärke der Auswirkungen</v>
      </c>
      <c r="B81" s="7"/>
      <c r="C81" s="8" t="s">
        <v>38</v>
      </c>
      <c r="D81" s="8" t="s">
        <v>39</v>
      </c>
      <c r="E81" s="8" t="s">
        <v>2083</v>
      </c>
      <c r="F81" s="8"/>
      <c r="G81" s="23" t="s">
        <v>17</v>
      </c>
      <c r="J81" s="9"/>
    </row>
    <row r="82" spans="1:26" ht="28.8" x14ac:dyDescent="0.25">
      <c r="A82" s="6" t="str">
        <f t="shared" ca="1" si="2"/>
        <v>Trend</v>
      </c>
      <c r="B82" s="7"/>
      <c r="C82" s="8" t="s">
        <v>40</v>
      </c>
      <c r="D82" s="8" t="s">
        <v>41</v>
      </c>
      <c r="E82" s="8" t="s">
        <v>40</v>
      </c>
      <c r="F82" s="8"/>
      <c r="G82" s="23" t="s">
        <v>17</v>
      </c>
      <c r="J82" s="9"/>
    </row>
    <row r="83" spans="1:26" x14ac:dyDescent="0.25">
      <c r="A83" s="6" t="str">
        <f t="shared" ca="1" si="2"/>
        <v>Bemerkungen</v>
      </c>
      <c r="B83" s="7"/>
      <c r="C83" s="8" t="s">
        <v>43</v>
      </c>
      <c r="D83" s="8" t="s">
        <v>44</v>
      </c>
      <c r="E83" s="8" t="s">
        <v>1084</v>
      </c>
      <c r="F83" s="8"/>
      <c r="G83" s="23" t="s">
        <v>17</v>
      </c>
      <c r="J83" s="9"/>
    </row>
    <row r="84" spans="1:26" x14ac:dyDescent="0.25">
      <c r="A84" s="6" t="str">
        <f t="shared" ca="1" si="2"/>
        <v>Status</v>
      </c>
      <c r="B84" s="7"/>
      <c r="C84" s="8" t="s">
        <v>32</v>
      </c>
      <c r="D84" s="8" t="s">
        <v>33</v>
      </c>
      <c r="E84" s="8" t="s">
        <v>32</v>
      </c>
      <c r="F84" s="8"/>
      <c r="G84" s="23" t="s">
        <v>17</v>
      </c>
      <c r="J84" s="9"/>
    </row>
    <row r="85" spans="1:26" x14ac:dyDescent="0.25">
      <c r="A85" s="6" t="str">
        <f t="shared" ca="1" si="2"/>
        <v>Ökonomische Trends</v>
      </c>
      <c r="B85" s="7"/>
      <c r="C85" s="7" t="s">
        <v>743</v>
      </c>
      <c r="D85" s="7" t="s">
        <v>744</v>
      </c>
      <c r="E85" s="7" t="s">
        <v>2084</v>
      </c>
      <c r="F85" s="7"/>
      <c r="G85" s="23" t="s">
        <v>17</v>
      </c>
      <c r="J85" s="9"/>
    </row>
    <row r="86" spans="1:26" x14ac:dyDescent="0.25">
      <c r="A86" s="6" t="str">
        <f t="shared" ca="1" si="2"/>
        <v>Soziologische Trends</v>
      </c>
      <c r="B86" s="7"/>
      <c r="C86" s="7" t="s">
        <v>745</v>
      </c>
      <c r="D86" s="7" t="s">
        <v>746</v>
      </c>
      <c r="E86" s="7" t="s">
        <v>2085</v>
      </c>
      <c r="F86" s="7"/>
      <c r="G86" s="23" t="s">
        <v>17</v>
      </c>
      <c r="J86" s="9"/>
    </row>
    <row r="87" spans="1:26" x14ac:dyDescent="0.25">
      <c r="A87" s="6" t="str">
        <f t="shared" ca="1" si="2"/>
        <v>Technologische Trends</v>
      </c>
      <c r="B87" s="7"/>
      <c r="C87" s="7" t="s">
        <v>747</v>
      </c>
      <c r="D87" s="7" t="s">
        <v>748</v>
      </c>
      <c r="E87" s="7" t="s">
        <v>2086</v>
      </c>
      <c r="F87" s="7"/>
      <c r="G87" s="23" t="s">
        <v>17</v>
      </c>
      <c r="J87" s="9"/>
    </row>
    <row r="88" spans="1:26" x14ac:dyDescent="0.25">
      <c r="A88" s="6" t="str">
        <f t="shared" ca="1" si="2"/>
        <v>Ökologische Trends</v>
      </c>
      <c r="B88" s="7"/>
      <c r="C88" s="7" t="s">
        <v>751</v>
      </c>
      <c r="D88" s="7" t="s">
        <v>752</v>
      </c>
      <c r="E88" s="7" t="s">
        <v>2087</v>
      </c>
      <c r="F88" s="7"/>
      <c r="G88" s="23" t="s">
        <v>17</v>
      </c>
      <c r="J88" s="9"/>
    </row>
    <row r="89" spans="1:26" x14ac:dyDescent="0.25">
      <c r="A89" s="6" t="str">
        <f t="shared" ca="1" si="2"/>
        <v>Rechtliche Trends</v>
      </c>
      <c r="B89" s="7"/>
      <c r="C89" s="7" t="s">
        <v>749</v>
      </c>
      <c r="D89" s="7" t="s">
        <v>750</v>
      </c>
      <c r="E89" s="7" t="s">
        <v>2088</v>
      </c>
      <c r="F89" s="7"/>
      <c r="G89" s="23" t="s">
        <v>17</v>
      </c>
      <c r="J89" s="9"/>
    </row>
    <row r="90" spans="1:26" x14ac:dyDescent="0.25">
      <c r="A90" s="25" t="str">
        <f t="shared" ca="1" si="2"/>
        <v>Kunde</v>
      </c>
      <c r="B90" s="7"/>
      <c r="C90" s="30" t="s">
        <v>1804</v>
      </c>
      <c r="D90" s="30" t="s">
        <v>1805</v>
      </c>
      <c r="E90" s="30" t="s">
        <v>1806</v>
      </c>
      <c r="F90" s="30"/>
      <c r="G90" s="27" t="s">
        <v>17</v>
      </c>
      <c r="J90" s="9"/>
    </row>
    <row r="91" spans="1:26" s="19" customFormat="1" x14ac:dyDescent="0.25">
      <c r="A91" s="16" t="str">
        <f t="shared" ca="1" si="2"/>
        <v>R I S I K O M A N A G E M E N T</v>
      </c>
      <c r="B91" s="17"/>
      <c r="C91" s="16" t="s">
        <v>51</v>
      </c>
      <c r="D91" s="16" t="s">
        <v>52</v>
      </c>
      <c r="E91" s="16" t="s">
        <v>1087</v>
      </c>
      <c r="F91" s="16" t="s">
        <v>1088</v>
      </c>
      <c r="G91" s="18" t="s">
        <v>17</v>
      </c>
      <c r="I91" s="9"/>
      <c r="Z91" s="3"/>
    </row>
    <row r="92" spans="1:26" x14ac:dyDescent="0.25">
      <c r="A92" s="20" t="str">
        <f t="shared" ca="1" si="2"/>
        <v>Eintretenswahrscheinlichkeit</v>
      </c>
      <c r="B92" s="7"/>
      <c r="C92" s="21" t="s">
        <v>53</v>
      </c>
      <c r="D92" s="21" t="s">
        <v>54</v>
      </c>
      <c r="E92" s="21" t="s">
        <v>1089</v>
      </c>
      <c r="F92" s="21" t="s">
        <v>1090</v>
      </c>
      <c r="G92" s="22" t="s">
        <v>17</v>
      </c>
      <c r="J92" s="9"/>
    </row>
    <row r="93" spans="1:26" x14ac:dyDescent="0.25">
      <c r="A93" s="6" t="str">
        <f t="shared" ca="1" si="2"/>
        <v>hoch</v>
      </c>
      <c r="B93" s="7"/>
      <c r="C93" s="7" t="s">
        <v>26</v>
      </c>
      <c r="D93" s="7" t="s">
        <v>55</v>
      </c>
      <c r="E93" s="7" t="s">
        <v>1091</v>
      </c>
      <c r="F93" s="7" t="s">
        <v>1092</v>
      </c>
      <c r="G93" s="23" t="s">
        <v>17</v>
      </c>
      <c r="J93" s="9"/>
    </row>
    <row r="94" spans="1:26" x14ac:dyDescent="0.25">
      <c r="A94" s="6" t="str">
        <f t="shared" ca="1" si="2"/>
        <v>mittel</v>
      </c>
      <c r="B94" s="7"/>
      <c r="C94" s="7" t="s">
        <v>56</v>
      </c>
      <c r="D94" s="7" t="s">
        <v>57</v>
      </c>
      <c r="E94" s="7" t="s">
        <v>1093</v>
      </c>
      <c r="F94" s="7" t="s">
        <v>1094</v>
      </c>
      <c r="G94" s="23" t="s">
        <v>17</v>
      </c>
      <c r="J94" s="9"/>
    </row>
    <row r="95" spans="1:26" x14ac:dyDescent="0.25">
      <c r="A95" s="6" t="str">
        <f t="shared" ca="1" si="2"/>
        <v>gering</v>
      </c>
      <c r="B95" s="7"/>
      <c r="C95" s="7" t="s">
        <v>27</v>
      </c>
      <c r="D95" s="7" t="s">
        <v>58</v>
      </c>
      <c r="E95" s="7" t="s">
        <v>1095</v>
      </c>
      <c r="F95" s="7" t="s">
        <v>1096</v>
      </c>
      <c r="G95" s="23" t="s">
        <v>17</v>
      </c>
      <c r="J95" s="9"/>
    </row>
    <row r="96" spans="1:26" x14ac:dyDescent="0.25">
      <c r="A96" s="6" t="str">
        <f t="shared" ca="1" si="2"/>
        <v>Schadensausmass</v>
      </c>
      <c r="B96" s="7"/>
      <c r="C96" s="7" t="s">
        <v>59</v>
      </c>
      <c r="D96" s="7" t="s">
        <v>60</v>
      </c>
      <c r="E96" s="7" t="s">
        <v>1097</v>
      </c>
      <c r="F96" s="7" t="s">
        <v>1098</v>
      </c>
      <c r="G96" s="23" t="s">
        <v>17</v>
      </c>
      <c r="J96" s="9"/>
    </row>
    <row r="97" spans="1:26" x14ac:dyDescent="0.25">
      <c r="A97" s="6" t="str">
        <f t="shared" ca="1" si="2"/>
        <v>Kein Handlungsbedarf</v>
      </c>
      <c r="B97" s="7"/>
      <c r="C97" s="7" t="s">
        <v>61</v>
      </c>
      <c r="D97" s="7" t="s">
        <v>62</v>
      </c>
      <c r="E97" s="7" t="s">
        <v>1099</v>
      </c>
      <c r="F97" s="7" t="s">
        <v>1100</v>
      </c>
      <c r="G97" s="23" t="s">
        <v>17</v>
      </c>
      <c r="J97" s="9"/>
    </row>
    <row r="98" spans="1:26" x14ac:dyDescent="0.25">
      <c r="A98" s="6" t="str">
        <f t="shared" ca="1" si="2"/>
        <v>Handlungsbedarf</v>
      </c>
      <c r="B98" s="7"/>
      <c r="C98" s="7" t="s">
        <v>63</v>
      </c>
      <c r="D98" s="7" t="s">
        <v>64</v>
      </c>
      <c r="E98" s="7" t="s">
        <v>1101</v>
      </c>
      <c r="F98" s="7" t="s">
        <v>1102</v>
      </c>
      <c r="G98" s="23" t="s">
        <v>17</v>
      </c>
      <c r="J98" s="9"/>
    </row>
    <row r="99" spans="1:26" x14ac:dyDescent="0.25">
      <c r="A99" s="6" t="str">
        <f t="shared" ca="1" si="2"/>
        <v>Akuter Handlungsbedarf</v>
      </c>
      <c r="B99" s="7"/>
      <c r="C99" s="7" t="s">
        <v>65</v>
      </c>
      <c r="D99" s="7" t="s">
        <v>66</v>
      </c>
      <c r="E99" s="7" t="s">
        <v>1103</v>
      </c>
      <c r="F99" s="7" t="s">
        <v>1104</v>
      </c>
      <c r="G99" s="23" t="s">
        <v>17</v>
      </c>
      <c r="J99" s="9"/>
    </row>
    <row r="100" spans="1:26" x14ac:dyDescent="0.25">
      <c r="A100" s="6" t="str">
        <f t="shared" ca="1" si="2"/>
        <v>Nr.</v>
      </c>
      <c r="B100" s="7"/>
      <c r="C100" s="7" t="s">
        <v>28</v>
      </c>
      <c r="D100" s="7" t="s">
        <v>29</v>
      </c>
      <c r="E100" s="7" t="s">
        <v>29</v>
      </c>
      <c r="F100" s="7" t="s">
        <v>1083</v>
      </c>
      <c r="G100" s="23" t="s">
        <v>17</v>
      </c>
      <c r="J100" s="9"/>
    </row>
    <row r="101" spans="1:26" x14ac:dyDescent="0.25">
      <c r="A101" s="6" t="str">
        <f t="shared" ca="1" si="2"/>
        <v>Risiko</v>
      </c>
      <c r="B101" s="7"/>
      <c r="C101" s="7" t="s">
        <v>67</v>
      </c>
      <c r="D101" s="7" t="s">
        <v>68</v>
      </c>
      <c r="E101" s="7" t="s">
        <v>1105</v>
      </c>
      <c r="F101" s="7" t="s">
        <v>1106</v>
      </c>
      <c r="G101" s="23" t="s">
        <v>17</v>
      </c>
      <c r="J101" s="9"/>
    </row>
    <row r="102" spans="1:26" x14ac:dyDescent="0.25">
      <c r="A102" s="6" t="str">
        <f t="shared" ref="A102:A133" ca="1" si="3">OFFSET($C102,0,$Z$5-1)</f>
        <v>Auswirkungen</v>
      </c>
      <c r="B102" s="7"/>
      <c r="C102" s="7" t="s">
        <v>36</v>
      </c>
      <c r="D102" s="7" t="s">
        <v>37</v>
      </c>
      <c r="E102" s="7" t="s">
        <v>1107</v>
      </c>
      <c r="F102" s="7" t="s">
        <v>1108</v>
      </c>
      <c r="G102" s="23" t="s">
        <v>17</v>
      </c>
      <c r="J102" s="9"/>
    </row>
    <row r="103" spans="1:26" x14ac:dyDescent="0.25">
      <c r="A103" s="6" t="str">
        <f t="shared" ca="1" si="3"/>
        <v>Eintretens-wahrscheinlich-keit</v>
      </c>
      <c r="B103" s="7"/>
      <c r="C103" s="8" t="s">
        <v>69</v>
      </c>
      <c r="D103" s="8" t="s">
        <v>54</v>
      </c>
      <c r="E103" s="8" t="s">
        <v>1089</v>
      </c>
      <c r="F103" s="8" t="s">
        <v>1090</v>
      </c>
      <c r="G103" s="23" t="s">
        <v>17</v>
      </c>
      <c r="J103" s="9"/>
    </row>
    <row r="104" spans="1:26" x14ac:dyDescent="0.25">
      <c r="A104" s="6" t="str">
        <f t="shared" ca="1" si="3"/>
        <v>Schadens-ausmass</v>
      </c>
      <c r="B104" s="7"/>
      <c r="C104" s="7" t="s">
        <v>70</v>
      </c>
      <c r="D104" s="7" t="s">
        <v>71</v>
      </c>
      <c r="E104" s="7" t="s">
        <v>1097</v>
      </c>
      <c r="F104" s="7" t="s">
        <v>1098</v>
      </c>
      <c r="G104" s="23" t="s">
        <v>17</v>
      </c>
      <c r="J104" s="9"/>
    </row>
    <row r="105" spans="1:26" ht="28.8" x14ac:dyDescent="0.25">
      <c r="A105" s="6" t="str">
        <f t="shared" ca="1" si="3"/>
        <v>Trend</v>
      </c>
      <c r="B105" s="7"/>
      <c r="C105" s="7" t="s">
        <v>40</v>
      </c>
      <c r="D105" s="7" t="s">
        <v>41</v>
      </c>
      <c r="E105" s="7" t="s">
        <v>40</v>
      </c>
      <c r="F105" s="7" t="s">
        <v>1109</v>
      </c>
      <c r="G105" s="23" t="s">
        <v>17</v>
      </c>
      <c r="J105" s="9"/>
    </row>
    <row r="106" spans="1:26" x14ac:dyDescent="0.25">
      <c r="A106" s="6" t="str">
        <f t="shared" ca="1" si="3"/>
        <v>Mögliche Massnahmen</v>
      </c>
      <c r="B106" s="7"/>
      <c r="C106" s="7" t="s">
        <v>30</v>
      </c>
      <c r="D106" s="7" t="s">
        <v>31</v>
      </c>
      <c r="E106" s="7" t="s">
        <v>1110</v>
      </c>
      <c r="F106" s="7" t="s">
        <v>1111</v>
      </c>
      <c r="G106" s="23" t="s">
        <v>17</v>
      </c>
      <c r="J106" s="9"/>
    </row>
    <row r="107" spans="1:26" x14ac:dyDescent="0.25">
      <c r="A107" s="6" t="str">
        <f t="shared" ca="1" si="3"/>
        <v>Status</v>
      </c>
      <c r="B107" s="7"/>
      <c r="C107" s="7" t="s">
        <v>32</v>
      </c>
      <c r="D107" s="7" t="s">
        <v>33</v>
      </c>
      <c r="E107" s="7" t="s">
        <v>32</v>
      </c>
      <c r="F107" s="7" t="s">
        <v>1112</v>
      </c>
      <c r="G107" s="23" t="s">
        <v>17</v>
      </c>
      <c r="J107" s="9"/>
    </row>
    <row r="108" spans="1:26" x14ac:dyDescent="0.25">
      <c r="A108" s="25" t="str">
        <f t="shared" ca="1" si="3"/>
        <v>Ausmass der Auswirkungen</v>
      </c>
      <c r="B108" s="7"/>
      <c r="C108" s="26" t="s">
        <v>72</v>
      </c>
      <c r="D108" s="26" t="s">
        <v>73</v>
      </c>
      <c r="E108" s="26" t="s">
        <v>1113</v>
      </c>
      <c r="F108" s="26" t="s">
        <v>1114</v>
      </c>
      <c r="G108" s="27" t="s">
        <v>17</v>
      </c>
      <c r="J108" s="9"/>
    </row>
    <row r="109" spans="1:26" s="19" customFormat="1" x14ac:dyDescent="0.25">
      <c r="A109" s="16" t="str">
        <f t="shared" ca="1" si="3"/>
        <v>B E N C H M A R K I N G</v>
      </c>
      <c r="B109" s="17"/>
      <c r="C109" s="16" t="s">
        <v>74</v>
      </c>
      <c r="D109" s="16" t="s">
        <v>74</v>
      </c>
      <c r="E109" s="16" t="s">
        <v>74</v>
      </c>
      <c r="F109" s="16" t="s">
        <v>74</v>
      </c>
      <c r="G109" s="18" t="s">
        <v>17</v>
      </c>
      <c r="I109" s="9"/>
      <c r="Z109" s="3"/>
    </row>
    <row r="110" spans="1:26" x14ac:dyDescent="0.25">
      <c r="A110" s="20" t="str">
        <f t="shared" ca="1" si="3"/>
        <v>Status</v>
      </c>
      <c r="B110" s="7"/>
      <c r="C110" s="28" t="s">
        <v>32</v>
      </c>
      <c r="D110" s="28" t="s">
        <v>33</v>
      </c>
      <c r="E110" s="28" t="s">
        <v>32</v>
      </c>
      <c r="F110" s="28" t="s">
        <v>1112</v>
      </c>
      <c r="G110" s="22" t="s">
        <v>17</v>
      </c>
      <c r="J110" s="9"/>
    </row>
    <row r="111" spans="1:26" x14ac:dyDescent="0.25">
      <c r="A111" s="6" t="str">
        <f t="shared" ca="1" si="3"/>
        <v>Nr.</v>
      </c>
      <c r="B111" s="7"/>
      <c r="C111" s="7" t="s">
        <v>28</v>
      </c>
      <c r="D111" s="7" t="s">
        <v>29</v>
      </c>
      <c r="E111" s="7" t="s">
        <v>29</v>
      </c>
      <c r="F111" s="7" t="s">
        <v>1083</v>
      </c>
      <c r="G111" s="23" t="s">
        <v>17</v>
      </c>
      <c r="J111" s="9"/>
    </row>
    <row r="112" spans="1:26" x14ac:dyDescent="0.25">
      <c r="A112" s="6" t="str">
        <f t="shared" ca="1" si="3"/>
        <v>Vergleichsobjekte</v>
      </c>
      <c r="B112" s="7"/>
      <c r="C112" s="7" t="s">
        <v>75</v>
      </c>
      <c r="D112" s="7" t="s">
        <v>76</v>
      </c>
      <c r="E112" s="7" t="s">
        <v>1115</v>
      </c>
      <c r="F112" s="7" t="s">
        <v>1116</v>
      </c>
      <c r="G112" s="23" t="s">
        <v>17</v>
      </c>
      <c r="J112" s="9"/>
    </row>
    <row r="113" spans="1:26" x14ac:dyDescent="0.25">
      <c r="A113" s="6" t="str">
        <f t="shared" ca="1" si="3"/>
        <v>Bemerkungen</v>
      </c>
      <c r="B113" s="7"/>
      <c r="C113" s="8" t="s">
        <v>43</v>
      </c>
      <c r="D113" s="8" t="s">
        <v>44</v>
      </c>
      <c r="E113" s="8" t="s">
        <v>1049</v>
      </c>
      <c r="F113" s="8" t="s">
        <v>1085</v>
      </c>
      <c r="G113" s="23" t="s">
        <v>17</v>
      </c>
      <c r="J113" s="9"/>
    </row>
    <row r="114" spans="1:26" x14ac:dyDescent="0.25">
      <c r="A114" s="6" t="str">
        <f t="shared" ca="1" si="3"/>
        <v>Wir</v>
      </c>
      <c r="B114" s="7"/>
      <c r="C114" s="7" t="s">
        <v>24</v>
      </c>
      <c r="D114" s="7" t="s">
        <v>25</v>
      </c>
      <c r="E114" s="7" t="s">
        <v>1117</v>
      </c>
      <c r="F114" s="7" t="s">
        <v>1118</v>
      </c>
      <c r="G114" s="23" t="s">
        <v>17</v>
      </c>
      <c r="J114" s="9"/>
    </row>
    <row r="115" spans="1:26" x14ac:dyDescent="0.25">
      <c r="A115" s="25" t="str">
        <f t="shared" ca="1" si="3"/>
        <v>Konkurrenz</v>
      </c>
      <c r="B115" s="7"/>
      <c r="C115" s="30" t="s">
        <v>20</v>
      </c>
      <c r="D115" s="30" t="s">
        <v>21</v>
      </c>
      <c r="E115" s="30" t="s">
        <v>1081</v>
      </c>
      <c r="F115" s="30" t="s">
        <v>1082</v>
      </c>
      <c r="G115" s="27" t="s">
        <v>17</v>
      </c>
      <c r="J115" s="9"/>
    </row>
    <row r="116" spans="1:26" s="19" customFormat="1" x14ac:dyDescent="0.25">
      <c r="A116" s="16" t="str">
        <f t="shared" ca="1" si="3"/>
        <v>S W O T - A N A L Y S E</v>
      </c>
      <c r="B116" s="17"/>
      <c r="C116" s="16" t="s">
        <v>77</v>
      </c>
      <c r="D116" s="16" t="s">
        <v>78</v>
      </c>
      <c r="E116" s="16" t="s">
        <v>1119</v>
      </c>
      <c r="F116" s="16" t="s">
        <v>1120</v>
      </c>
      <c r="G116" s="18" t="s">
        <v>17</v>
      </c>
      <c r="I116" s="9"/>
      <c r="Z116" s="3"/>
    </row>
    <row r="117" spans="1:26" x14ac:dyDescent="0.25">
      <c r="A117" s="20" t="str">
        <f t="shared" ca="1" si="3"/>
        <v>Stärken / Schwächen -&gt; interne Faktoren</v>
      </c>
      <c r="B117" s="7"/>
      <c r="C117" s="21" t="s">
        <v>79</v>
      </c>
      <c r="D117" s="21" t="s">
        <v>80</v>
      </c>
      <c r="E117" s="21" t="s">
        <v>1121</v>
      </c>
      <c r="F117" s="21" t="s">
        <v>1122</v>
      </c>
      <c r="G117" s="22" t="s">
        <v>17</v>
      </c>
      <c r="J117" s="9"/>
    </row>
    <row r="118" spans="1:26" x14ac:dyDescent="0.25">
      <c r="A118" s="6" t="str">
        <f t="shared" ca="1" si="3"/>
        <v>Stärken / Schwächen</v>
      </c>
      <c r="B118" s="7"/>
      <c r="C118" s="8" t="s">
        <v>81</v>
      </c>
      <c r="D118" s="8" t="s">
        <v>82</v>
      </c>
      <c r="E118" s="8" t="s">
        <v>1123</v>
      </c>
      <c r="F118" s="8" t="s">
        <v>1124</v>
      </c>
      <c r="G118" s="23" t="s">
        <v>17</v>
      </c>
      <c r="J118" s="9"/>
    </row>
    <row r="119" spans="1:26" x14ac:dyDescent="0.25">
      <c r="A119" s="6" t="str">
        <f t="shared" ca="1" si="3"/>
        <v>Chancen / Gefahren</v>
      </c>
      <c r="B119" s="7"/>
      <c r="C119" s="8" t="s">
        <v>83</v>
      </c>
      <c r="D119" s="8" t="s">
        <v>84</v>
      </c>
      <c r="E119" s="8" t="s">
        <v>1125</v>
      </c>
      <c r="F119" s="8" t="s">
        <v>1126</v>
      </c>
      <c r="G119" s="23" t="s">
        <v>17</v>
      </c>
      <c r="J119" s="9"/>
    </row>
    <row r="120" spans="1:26" x14ac:dyDescent="0.25">
      <c r="A120" s="6" t="str">
        <f t="shared" ca="1" si="3"/>
        <v>Gewichtung</v>
      </c>
      <c r="B120" s="7"/>
      <c r="C120" s="7" t="s">
        <v>85</v>
      </c>
      <c r="D120" s="7" t="s">
        <v>86</v>
      </c>
      <c r="E120" s="7" t="s">
        <v>1127</v>
      </c>
      <c r="F120" s="7" t="s">
        <v>1128</v>
      </c>
      <c r="G120" s="23" t="s">
        <v>17</v>
      </c>
      <c r="J120" s="9"/>
    </row>
    <row r="121" spans="1:26" x14ac:dyDescent="0.25">
      <c r="A121" s="6" t="str">
        <f t="shared" ca="1" si="3"/>
        <v>Chancen / Gefahren -&gt; externe Faktoren</v>
      </c>
      <c r="B121" s="7"/>
      <c r="C121" s="7" t="s">
        <v>87</v>
      </c>
      <c r="D121" s="7" t="s">
        <v>88</v>
      </c>
      <c r="E121" s="7" t="s">
        <v>1129</v>
      </c>
      <c r="F121" s="7" t="s">
        <v>1130</v>
      </c>
      <c r="G121" s="23" t="s">
        <v>17</v>
      </c>
      <c r="J121" s="9"/>
    </row>
    <row r="122" spans="1:26" x14ac:dyDescent="0.25">
      <c r="A122" s="6" t="str">
        <f t="shared" ca="1" si="3"/>
        <v>Stärken</v>
      </c>
      <c r="B122" s="7"/>
      <c r="C122" s="8" t="s">
        <v>89</v>
      </c>
      <c r="D122" s="8" t="s">
        <v>90</v>
      </c>
      <c r="E122" s="8" t="s">
        <v>1131</v>
      </c>
      <c r="F122" s="8" t="s">
        <v>1132</v>
      </c>
      <c r="G122" s="23" t="s">
        <v>17</v>
      </c>
      <c r="J122" s="9"/>
    </row>
    <row r="123" spans="1:26" x14ac:dyDescent="0.25">
      <c r="A123" s="6" t="str">
        <f t="shared" ca="1" si="3"/>
        <v>Schwächen</v>
      </c>
      <c r="B123" s="7"/>
      <c r="C123" s="8" t="s">
        <v>91</v>
      </c>
      <c r="D123" s="8" t="s">
        <v>92</v>
      </c>
      <c r="E123" s="8" t="s">
        <v>1133</v>
      </c>
      <c r="F123" s="8" t="s">
        <v>1134</v>
      </c>
      <c r="G123" s="23" t="s">
        <v>17</v>
      </c>
      <c r="J123" s="9"/>
    </row>
    <row r="124" spans="1:26" x14ac:dyDescent="0.25">
      <c r="A124" s="6" t="str">
        <f t="shared" ca="1" si="3"/>
        <v>Chancen</v>
      </c>
      <c r="B124" s="7"/>
      <c r="C124" s="8" t="s">
        <v>93</v>
      </c>
      <c r="D124" s="8" t="s">
        <v>94</v>
      </c>
      <c r="E124" s="8" t="s">
        <v>1135</v>
      </c>
      <c r="F124" s="8" t="s">
        <v>1136</v>
      </c>
      <c r="G124" s="23" t="s">
        <v>17</v>
      </c>
      <c r="J124" s="9"/>
    </row>
    <row r="125" spans="1:26" x14ac:dyDescent="0.25">
      <c r="A125" s="25" t="str">
        <f t="shared" ca="1" si="3"/>
        <v>Gefahren</v>
      </c>
      <c r="B125" s="7"/>
      <c r="C125" s="26" t="s">
        <v>95</v>
      </c>
      <c r="D125" s="26" t="s">
        <v>96</v>
      </c>
      <c r="E125" s="26" t="s">
        <v>1137</v>
      </c>
      <c r="F125" s="26" t="s">
        <v>1138</v>
      </c>
      <c r="G125" s="27" t="s">
        <v>17</v>
      </c>
      <c r="J125" s="9"/>
    </row>
    <row r="126" spans="1:26" s="19" customFormat="1" x14ac:dyDescent="0.25">
      <c r="A126" s="16" t="str">
        <f t="shared" ca="1" si="3"/>
        <v>K O S T E N  -  N U T Z E N</v>
      </c>
      <c r="B126" s="17"/>
      <c r="C126" s="16" t="s">
        <v>761</v>
      </c>
      <c r="D126" s="16" t="s">
        <v>798</v>
      </c>
      <c r="E126" s="16" t="s">
        <v>2089</v>
      </c>
      <c r="F126" s="16"/>
      <c r="G126" s="18" t="s">
        <v>17</v>
      </c>
      <c r="I126" s="9"/>
      <c r="Z126" s="3"/>
    </row>
    <row r="127" spans="1:26" x14ac:dyDescent="0.25">
      <c r="A127" s="20" t="str">
        <f t="shared" ca="1" si="3"/>
        <v>Nutzen</v>
      </c>
      <c r="B127" s="7"/>
      <c r="C127" s="28" t="s">
        <v>786</v>
      </c>
      <c r="D127" s="28" t="s">
        <v>787</v>
      </c>
      <c r="E127" s="28" t="s">
        <v>2090</v>
      </c>
      <c r="F127" s="28"/>
      <c r="G127" s="22" t="s">
        <v>17</v>
      </c>
      <c r="J127" s="9"/>
    </row>
    <row r="128" spans="1:26" x14ac:dyDescent="0.25">
      <c r="A128" s="6" t="str">
        <f t="shared" ca="1" si="3"/>
        <v>hoch</v>
      </c>
      <c r="B128" s="7"/>
      <c r="C128" s="8" t="s">
        <v>26</v>
      </c>
      <c r="D128" s="8" t="s">
        <v>796</v>
      </c>
      <c r="E128" s="8" t="s">
        <v>2091</v>
      </c>
      <c r="F128" s="8"/>
      <c r="G128" s="23" t="s">
        <v>17</v>
      </c>
      <c r="J128" s="9"/>
    </row>
    <row r="129" spans="1:26" x14ac:dyDescent="0.25">
      <c r="A129" s="6" t="str">
        <f t="shared" ca="1" si="3"/>
        <v>gering</v>
      </c>
      <c r="B129" s="7"/>
      <c r="C129" s="8" t="s">
        <v>27</v>
      </c>
      <c r="D129" s="8" t="s">
        <v>797</v>
      </c>
      <c r="E129" s="8" t="s">
        <v>2092</v>
      </c>
      <c r="F129" s="8"/>
      <c r="G129" s="23" t="s">
        <v>17</v>
      </c>
      <c r="J129" s="9"/>
    </row>
    <row r="130" spans="1:26" x14ac:dyDescent="0.25">
      <c r="A130" s="6" t="str">
        <f t="shared" ca="1" si="3"/>
        <v>Änderung</v>
      </c>
      <c r="B130" s="7"/>
      <c r="C130" s="8" t="s">
        <v>1821</v>
      </c>
      <c r="D130" s="8" t="s">
        <v>1822</v>
      </c>
      <c r="E130" s="8" t="s">
        <v>1823</v>
      </c>
      <c r="F130" s="8"/>
      <c r="G130" s="23" t="s">
        <v>17</v>
      </c>
      <c r="J130" s="9"/>
    </row>
    <row r="131" spans="1:26" x14ac:dyDescent="0.25">
      <c r="A131" s="6" t="str">
        <f t="shared" ca="1" si="3"/>
        <v>Kosten</v>
      </c>
      <c r="B131" s="7"/>
      <c r="C131" s="8" t="s">
        <v>784</v>
      </c>
      <c r="D131" s="8" t="s">
        <v>785</v>
      </c>
      <c r="E131" s="8" t="s">
        <v>2093</v>
      </c>
      <c r="F131" s="8"/>
      <c r="G131" s="23" t="s">
        <v>17</v>
      </c>
      <c r="J131" s="9"/>
    </row>
    <row r="132" spans="1:26" x14ac:dyDescent="0.25">
      <c r="A132" s="6" t="str">
        <f t="shared" ca="1" si="3"/>
        <v>Aufwand</v>
      </c>
      <c r="B132" s="7"/>
      <c r="C132" s="8" t="s">
        <v>799</v>
      </c>
      <c r="D132" s="8" t="s">
        <v>793</v>
      </c>
      <c r="E132" s="8" t="s">
        <v>1816</v>
      </c>
      <c r="F132" s="8"/>
      <c r="G132" s="23" t="s">
        <v>17</v>
      </c>
      <c r="J132" s="9"/>
    </row>
    <row r="133" spans="1:26" x14ac:dyDescent="0.25">
      <c r="A133" s="6" t="str">
        <f t="shared" ca="1" si="3"/>
        <v>Bemerkungen</v>
      </c>
      <c r="B133" s="7"/>
      <c r="C133" s="8" t="s">
        <v>43</v>
      </c>
      <c r="D133" s="8" t="s">
        <v>44</v>
      </c>
      <c r="E133" s="8" t="s">
        <v>1084</v>
      </c>
      <c r="F133" s="8"/>
      <c r="G133" s="23" t="s">
        <v>17</v>
      </c>
      <c r="J133" s="9"/>
    </row>
    <row r="134" spans="1:26" x14ac:dyDescent="0.25">
      <c r="A134" s="6" t="str">
        <f t="shared" ref="A134:A147" ca="1" si="4">OFFSET($C134,0,$Z$5-1)</f>
        <v>Produkteinnovation</v>
      </c>
      <c r="B134" s="7"/>
      <c r="C134" s="7" t="s">
        <v>788</v>
      </c>
      <c r="D134" s="7" t="s">
        <v>791</v>
      </c>
      <c r="E134" s="7" t="s">
        <v>2094</v>
      </c>
      <c r="F134" s="7"/>
      <c r="G134" s="23" t="s">
        <v>17</v>
      </c>
      <c r="J134" s="9"/>
    </row>
    <row r="135" spans="1:26" x14ac:dyDescent="0.25">
      <c r="A135" s="6" t="str">
        <f t="shared" ca="1" si="4"/>
        <v>Dienstleistungs-innovation</v>
      </c>
      <c r="B135" s="7"/>
      <c r="C135" s="7" t="s">
        <v>792</v>
      </c>
      <c r="D135" s="7" t="s">
        <v>794</v>
      </c>
      <c r="E135" s="7" t="s">
        <v>2095</v>
      </c>
      <c r="F135" s="7"/>
      <c r="G135" s="23" t="s">
        <v>17</v>
      </c>
      <c r="J135" s="9"/>
    </row>
    <row r="136" spans="1:26" x14ac:dyDescent="0.25">
      <c r="A136" s="6" t="str">
        <f t="shared" ca="1" si="4"/>
        <v>Prozessinnovation</v>
      </c>
      <c r="B136" s="7"/>
      <c r="C136" s="7" t="s">
        <v>789</v>
      </c>
      <c r="D136" s="7" t="s">
        <v>1889</v>
      </c>
      <c r="E136" s="7" t="s">
        <v>2096</v>
      </c>
      <c r="F136" s="7"/>
      <c r="G136" s="23" t="s">
        <v>17</v>
      </c>
      <c r="J136" s="9"/>
    </row>
    <row r="137" spans="1:26" x14ac:dyDescent="0.25">
      <c r="A137" s="25" t="str">
        <f t="shared" ca="1" si="4"/>
        <v>Organisatorische Innovation</v>
      </c>
      <c r="B137" s="7"/>
      <c r="C137" s="30" t="s">
        <v>790</v>
      </c>
      <c r="D137" s="30" t="s">
        <v>795</v>
      </c>
      <c r="E137" s="30" t="s">
        <v>2097</v>
      </c>
      <c r="F137" s="30"/>
      <c r="G137" s="27" t="s">
        <v>17</v>
      </c>
      <c r="J137" s="9"/>
    </row>
    <row r="138" spans="1:26" s="19" customFormat="1" x14ac:dyDescent="0.25">
      <c r="A138" s="16" t="str">
        <f t="shared" ca="1" si="4"/>
        <v>C A N V A S :  S T Ä R K E N   &amp;   S C H W Ä C H E N</v>
      </c>
      <c r="B138" s="17"/>
      <c r="C138" s="16" t="s">
        <v>890</v>
      </c>
      <c r="D138" s="16" t="s">
        <v>891</v>
      </c>
      <c r="E138" s="16" t="s">
        <v>892</v>
      </c>
      <c r="F138" s="16" t="s">
        <v>2072</v>
      </c>
      <c r="G138" s="18" t="s">
        <v>17</v>
      </c>
      <c r="I138" s="9"/>
      <c r="Z138" s="3"/>
    </row>
    <row r="139" spans="1:26" x14ac:dyDescent="0.25">
      <c r="A139" s="20" t="str">
        <f t="shared" ca="1" si="4"/>
        <v>trifft voll zu</v>
      </c>
      <c r="B139" s="7"/>
      <c r="C139" s="28" t="s">
        <v>101</v>
      </c>
      <c r="D139" s="28" t="s">
        <v>102</v>
      </c>
      <c r="E139" s="28" t="s">
        <v>1139</v>
      </c>
      <c r="F139" s="28" t="s">
        <v>1140</v>
      </c>
      <c r="G139" s="22" t="s">
        <v>17</v>
      </c>
      <c r="J139" s="9"/>
    </row>
    <row r="140" spans="1:26" x14ac:dyDescent="0.25">
      <c r="A140" s="6" t="str">
        <f t="shared" ca="1" si="4"/>
        <v>trifft eher zu</v>
      </c>
      <c r="B140" s="7"/>
      <c r="C140" s="8" t="s">
        <v>103</v>
      </c>
      <c r="D140" s="8" t="s">
        <v>104</v>
      </c>
      <c r="E140" s="8" t="s">
        <v>1141</v>
      </c>
      <c r="F140" s="8" t="s">
        <v>1142</v>
      </c>
      <c r="G140" s="23" t="s">
        <v>17</v>
      </c>
      <c r="J140" s="9"/>
    </row>
    <row r="141" spans="1:26" x14ac:dyDescent="0.25">
      <c r="A141" s="6" t="str">
        <f t="shared" ca="1" si="4"/>
        <v>trifft teilweise zu</v>
      </c>
      <c r="B141" s="7"/>
      <c r="C141" s="8" t="s">
        <v>105</v>
      </c>
      <c r="D141" s="8" t="s">
        <v>106</v>
      </c>
      <c r="E141" s="8" t="s">
        <v>1143</v>
      </c>
      <c r="F141" s="8" t="s">
        <v>1144</v>
      </c>
      <c r="G141" s="23" t="s">
        <v>17</v>
      </c>
      <c r="J141" s="9"/>
    </row>
    <row r="142" spans="1:26" x14ac:dyDescent="0.25">
      <c r="A142" s="6" t="str">
        <f t="shared" ca="1" si="4"/>
        <v>trifft eher nicht zu</v>
      </c>
      <c r="B142" s="7"/>
      <c r="C142" s="8" t="s">
        <v>107</v>
      </c>
      <c r="D142" s="8" t="s">
        <v>108</v>
      </c>
      <c r="E142" s="8" t="s">
        <v>1145</v>
      </c>
      <c r="F142" s="8" t="s">
        <v>1146</v>
      </c>
      <c r="G142" s="23" t="s">
        <v>17</v>
      </c>
      <c r="J142" s="9"/>
    </row>
    <row r="143" spans="1:26" x14ac:dyDescent="0.25">
      <c r="A143" s="6" t="str">
        <f t="shared" ca="1" si="4"/>
        <v>trifft überhaupt nicht zu</v>
      </c>
      <c r="B143" s="7"/>
      <c r="C143" s="8" t="s">
        <v>109</v>
      </c>
      <c r="D143" s="8" t="s">
        <v>110</v>
      </c>
      <c r="E143" s="8" t="s">
        <v>1147</v>
      </c>
      <c r="F143" s="8" t="s">
        <v>1148</v>
      </c>
      <c r="G143" s="23" t="s">
        <v>17</v>
      </c>
      <c r="J143" s="9"/>
    </row>
    <row r="144" spans="1:26" ht="28.8" x14ac:dyDescent="0.25">
      <c r="A144" s="6" t="str">
        <f t="shared" ca="1" si="4"/>
        <v>Unsere Wertangebote (Value Proposition) entsprechen den Bedürfnissen der Kunden</v>
      </c>
      <c r="B144" s="7"/>
      <c r="C144" s="8" t="s">
        <v>893</v>
      </c>
      <c r="D144" s="8" t="s">
        <v>111</v>
      </c>
      <c r="E144" s="8" t="s">
        <v>894</v>
      </c>
      <c r="F144" s="8" t="s">
        <v>1149</v>
      </c>
      <c r="G144" s="23" t="s">
        <v>17</v>
      </c>
      <c r="J144" s="9"/>
    </row>
    <row r="145" spans="1:10" ht="28.8" x14ac:dyDescent="0.25">
      <c r="A145" s="6" t="str">
        <f t="shared" ca="1" si="4"/>
        <v>Unsere Wertangebote haben einen grossen Einfluss auf unser  Networking</v>
      </c>
      <c r="B145" s="7"/>
      <c r="C145" s="8" t="s">
        <v>895</v>
      </c>
      <c r="D145" s="8" t="s">
        <v>112</v>
      </c>
      <c r="E145" s="8" t="s">
        <v>896</v>
      </c>
      <c r="F145" s="8" t="s">
        <v>1150</v>
      </c>
      <c r="G145" s="23" t="s">
        <v>17</v>
      </c>
      <c r="J145" s="9"/>
    </row>
    <row r="146" spans="1:10" ht="28.8" x14ac:dyDescent="0.25">
      <c r="A146" s="6" t="str">
        <f t="shared" ca="1" si="4"/>
        <v>Es bestehen grosse Synergien zwischen unseren Produkten und unseren Dienstleistungen</v>
      </c>
      <c r="B146" s="7"/>
      <c r="C146" s="8" t="s">
        <v>897</v>
      </c>
      <c r="D146" s="8" t="s">
        <v>898</v>
      </c>
      <c r="E146" s="8" t="s">
        <v>1151</v>
      </c>
      <c r="F146" s="8" t="s">
        <v>1152</v>
      </c>
      <c r="G146" s="23" t="s">
        <v>17</v>
      </c>
      <c r="J146" s="9"/>
    </row>
    <row r="147" spans="1:10" x14ac:dyDescent="0.25">
      <c r="A147" s="6" t="str">
        <f t="shared" ca="1" si="4"/>
        <v>Unsere Kunden sind  zufrieden</v>
      </c>
      <c r="B147" s="7"/>
      <c r="C147" s="8" t="s">
        <v>899</v>
      </c>
      <c r="D147" s="8" t="s">
        <v>900</v>
      </c>
      <c r="E147" s="8" t="s">
        <v>901</v>
      </c>
      <c r="F147" s="8" t="s">
        <v>1153</v>
      </c>
      <c r="G147" s="23" t="s">
        <v>17</v>
      </c>
      <c r="J147" s="9"/>
    </row>
    <row r="148" spans="1:10" x14ac:dyDescent="0.25">
      <c r="A148" s="6"/>
      <c r="B148" s="7"/>
      <c r="C148" s="8"/>
      <c r="D148" s="8"/>
      <c r="E148" s="8"/>
      <c r="F148" s="8"/>
      <c r="G148" s="23" t="s">
        <v>17</v>
      </c>
      <c r="J148" s="9"/>
    </row>
    <row r="149" spans="1:10" x14ac:dyDescent="0.25">
      <c r="A149" s="6" t="str">
        <f t="shared" ref="A149:A180" ca="1" si="5">OFFSET($C149,0,$Z$5-1)</f>
        <v>Unsere Margen sind hoch</v>
      </c>
      <c r="B149" s="7"/>
      <c r="C149" s="8" t="s">
        <v>113</v>
      </c>
      <c r="D149" s="8" t="s">
        <v>114</v>
      </c>
      <c r="E149" s="8" t="s">
        <v>902</v>
      </c>
      <c r="F149" s="8" t="s">
        <v>1154</v>
      </c>
      <c r="G149" s="23" t="s">
        <v>17</v>
      </c>
      <c r="J149" s="9"/>
    </row>
    <row r="150" spans="1:10" x14ac:dyDescent="0.25">
      <c r="A150" s="6" t="str">
        <f t="shared" ca="1" si="5"/>
        <v>Unsere Erträge sind vorhersehbar</v>
      </c>
      <c r="B150" s="7"/>
      <c r="C150" s="8" t="s">
        <v>115</v>
      </c>
      <c r="D150" s="8" t="s">
        <v>116</v>
      </c>
      <c r="E150" s="8" t="s">
        <v>903</v>
      </c>
      <c r="F150" s="8" t="s">
        <v>1155</v>
      </c>
      <c r="G150" s="23" t="s">
        <v>17</v>
      </c>
      <c r="J150" s="9"/>
    </row>
    <row r="151" spans="1:10" ht="28.8" x14ac:dyDescent="0.25">
      <c r="A151" s="6" t="str">
        <f t="shared" ca="1" si="5"/>
        <v>Wir haben wiederkehrende Einnahmen und häufige wiederholte Käufe</v>
      </c>
      <c r="B151" s="7"/>
      <c r="C151" s="8" t="s">
        <v>117</v>
      </c>
      <c r="D151" s="8" t="s">
        <v>118</v>
      </c>
      <c r="E151" s="8" t="s">
        <v>904</v>
      </c>
      <c r="F151" s="8" t="s">
        <v>1156</v>
      </c>
      <c r="G151" s="23" t="s">
        <v>17</v>
      </c>
      <c r="J151" s="9"/>
    </row>
    <row r="152" spans="1:10" x14ac:dyDescent="0.25">
      <c r="A152" s="6" t="str">
        <f t="shared" ca="1" si="5"/>
        <v>Unsere Einnahmequellen sind diversifiziert</v>
      </c>
      <c r="B152" s="7"/>
      <c r="C152" s="8" t="s">
        <v>119</v>
      </c>
      <c r="D152" s="8" t="s">
        <v>120</v>
      </c>
      <c r="E152" s="8" t="s">
        <v>905</v>
      </c>
      <c r="F152" s="8" t="s">
        <v>1157</v>
      </c>
      <c r="G152" s="23" t="s">
        <v>17</v>
      </c>
      <c r="J152" s="9"/>
    </row>
    <row r="153" spans="1:10" x14ac:dyDescent="0.25">
      <c r="A153" s="6" t="str">
        <f t="shared" ca="1" si="5"/>
        <v>Unsere Einnahmequellen sind nachhaltig</v>
      </c>
      <c r="B153" s="7"/>
      <c r="C153" s="8" t="s">
        <v>121</v>
      </c>
      <c r="D153" s="8" t="s">
        <v>122</v>
      </c>
      <c r="E153" s="8" t="s">
        <v>906</v>
      </c>
      <c r="F153" s="8" t="s">
        <v>1158</v>
      </c>
      <c r="G153" s="23" t="s">
        <v>17</v>
      </c>
      <c r="J153" s="9"/>
    </row>
    <row r="154" spans="1:10" ht="28.8" x14ac:dyDescent="0.25">
      <c r="A154" s="6" t="str">
        <f t="shared" ca="1" si="5"/>
        <v>Wir ziehen die Erträge ein bevor wir weitere Verpflichtungen eingehen</v>
      </c>
      <c r="B154" s="7"/>
      <c r="C154" s="8" t="s">
        <v>123</v>
      </c>
      <c r="D154" s="8" t="s">
        <v>124</v>
      </c>
      <c r="E154" s="8" t="s">
        <v>907</v>
      </c>
      <c r="F154" s="8" t="s">
        <v>1159</v>
      </c>
      <c r="G154" s="23" t="s">
        <v>17</v>
      </c>
      <c r="J154" s="9"/>
    </row>
    <row r="155" spans="1:10" ht="28.8" x14ac:dyDescent="0.25">
      <c r="A155" s="6" t="str">
        <f t="shared" ca="1" si="5"/>
        <v>Die Höhe der Rechnungsbeträge entsprechen dem, was der Kunde bereit ist zu bezahlen</v>
      </c>
      <c r="B155" s="7"/>
      <c r="C155" s="8" t="s">
        <v>125</v>
      </c>
      <c r="D155" s="8" t="s">
        <v>126</v>
      </c>
      <c r="E155" s="8" t="s">
        <v>908</v>
      </c>
      <c r="F155" s="8" t="s">
        <v>1160</v>
      </c>
      <c r="G155" s="23" t="s">
        <v>17</v>
      </c>
      <c r="J155" s="9"/>
    </row>
    <row r="156" spans="1:10" ht="28.8" x14ac:dyDescent="0.25">
      <c r="A156" s="6" t="str">
        <f t="shared" ca="1" si="5"/>
        <v>Unsere Preisgestaltung entspricht dem, was der Kunde bereit ist zu bezahlen</v>
      </c>
      <c r="B156" s="7"/>
      <c r="C156" s="8" t="s">
        <v>127</v>
      </c>
      <c r="D156" s="8" t="s">
        <v>128</v>
      </c>
      <c r="E156" s="8" t="s">
        <v>909</v>
      </c>
      <c r="F156" s="8" t="s">
        <v>1161</v>
      </c>
      <c r="G156" s="23" t="s">
        <v>17</v>
      </c>
      <c r="J156" s="9"/>
    </row>
    <row r="157" spans="1:10" x14ac:dyDescent="0.25">
      <c r="A157" s="6">
        <f t="shared" ca="1" si="5"/>
        <v>0</v>
      </c>
      <c r="B157" s="7"/>
      <c r="C157" s="8"/>
      <c r="D157" s="8"/>
      <c r="E157" s="8"/>
      <c r="F157" s="8"/>
      <c r="G157" s="23" t="s">
        <v>17</v>
      </c>
      <c r="J157" s="9"/>
    </row>
    <row r="158" spans="1:10" x14ac:dyDescent="0.25">
      <c r="A158" s="6" t="str">
        <f t="shared" ca="1" si="5"/>
        <v>Unsere Kosten sind vorhersehbar</v>
      </c>
      <c r="B158" s="7"/>
      <c r="C158" s="8" t="s">
        <v>129</v>
      </c>
      <c r="D158" s="8" t="s">
        <v>130</v>
      </c>
      <c r="E158" s="8" t="s">
        <v>910</v>
      </c>
      <c r="F158" s="8" t="s">
        <v>1162</v>
      </c>
      <c r="G158" s="23" t="s">
        <v>17</v>
      </c>
      <c r="J158" s="9"/>
    </row>
    <row r="159" spans="1:10" ht="28.8" x14ac:dyDescent="0.25">
      <c r="A159" s="6" t="str">
        <f t="shared" ca="1" si="5"/>
        <v>Unsere Kostenstruktur ist richtig auf unser Geschäftsmodell abgestimmt</v>
      </c>
      <c r="B159" s="7"/>
      <c r="C159" s="8" t="s">
        <v>131</v>
      </c>
      <c r="D159" s="8" t="s">
        <v>132</v>
      </c>
      <c r="E159" s="8" t="s">
        <v>911</v>
      </c>
      <c r="F159" s="8" t="s">
        <v>1163</v>
      </c>
      <c r="G159" s="23" t="s">
        <v>17</v>
      </c>
      <c r="J159" s="9"/>
    </row>
    <row r="160" spans="1:10" x14ac:dyDescent="0.25">
      <c r="A160" s="6" t="str">
        <f t="shared" ca="1" si="5"/>
        <v>Unsere Aktivitäten sind Kosteneffizient</v>
      </c>
      <c r="B160" s="7"/>
      <c r="C160" s="8" t="s">
        <v>912</v>
      </c>
      <c r="D160" s="8" t="s">
        <v>913</v>
      </c>
      <c r="E160" s="8" t="s">
        <v>914</v>
      </c>
      <c r="F160" s="8" t="s">
        <v>1164</v>
      </c>
      <c r="G160" s="23" t="s">
        <v>17</v>
      </c>
      <c r="J160" s="9"/>
    </row>
    <row r="161" spans="1:10" x14ac:dyDescent="0.25">
      <c r="A161" s="6" t="str">
        <f t="shared" ca="1" si="5"/>
        <v>Wir profitieren von Skaleneffekten</v>
      </c>
      <c r="B161" s="7"/>
      <c r="C161" s="8" t="s">
        <v>133</v>
      </c>
      <c r="D161" s="8" t="s">
        <v>134</v>
      </c>
      <c r="E161" s="8" t="s">
        <v>915</v>
      </c>
      <c r="F161" s="8" t="s">
        <v>1165</v>
      </c>
      <c r="G161" s="23" t="s">
        <v>17</v>
      </c>
      <c r="J161" s="9"/>
    </row>
    <row r="162" spans="1:10" x14ac:dyDescent="0.25">
      <c r="A162" s="6">
        <f t="shared" ca="1" si="5"/>
        <v>0</v>
      </c>
      <c r="B162" s="7"/>
      <c r="C162" s="8"/>
      <c r="D162" s="8"/>
      <c r="E162" s="8"/>
      <c r="F162" s="8"/>
      <c r="G162" s="23" t="s">
        <v>17</v>
      </c>
      <c r="J162" s="9"/>
    </row>
    <row r="163" spans="1:10" x14ac:dyDescent="0.25">
      <c r="A163" s="6" t="str">
        <f t="shared" ca="1" si="5"/>
        <v>Die Fluktuationsrate der Kunden ist gering</v>
      </c>
      <c r="B163" s="7"/>
      <c r="C163" s="8" t="s">
        <v>135</v>
      </c>
      <c r="D163" s="8" t="s">
        <v>136</v>
      </c>
      <c r="E163" s="8" t="s">
        <v>916</v>
      </c>
      <c r="F163" s="8" t="s">
        <v>1166</v>
      </c>
      <c r="G163" s="23" t="s">
        <v>17</v>
      </c>
      <c r="J163" s="9"/>
    </row>
    <row r="164" spans="1:10" x14ac:dyDescent="0.25">
      <c r="A164" s="6" t="str">
        <f t="shared" ca="1" si="5"/>
        <v>Die Kundensegmentierung ist gut</v>
      </c>
      <c r="B164" s="7"/>
      <c r="C164" s="8" t="s">
        <v>137</v>
      </c>
      <c r="D164" s="8" t="s">
        <v>138</v>
      </c>
      <c r="E164" s="8" t="s">
        <v>917</v>
      </c>
      <c r="F164" s="8" t="s">
        <v>1167</v>
      </c>
      <c r="G164" s="23" t="s">
        <v>17</v>
      </c>
      <c r="J164" s="9"/>
    </row>
    <row r="165" spans="1:10" x14ac:dyDescent="0.25">
      <c r="A165" s="6" t="str">
        <f t="shared" ca="1" si="5"/>
        <v>Wir gewinnen regelmässig neue Kunden</v>
      </c>
      <c r="B165" s="7"/>
      <c r="C165" s="8" t="s">
        <v>139</v>
      </c>
      <c r="D165" s="8" t="s">
        <v>140</v>
      </c>
      <c r="E165" s="8" t="s">
        <v>918</v>
      </c>
      <c r="F165" s="8" t="s">
        <v>1168</v>
      </c>
      <c r="G165" s="23" t="s">
        <v>17</v>
      </c>
      <c r="J165" s="9"/>
    </row>
    <row r="166" spans="1:10" x14ac:dyDescent="0.25">
      <c r="A166" s="6">
        <f t="shared" ca="1" si="5"/>
        <v>0</v>
      </c>
      <c r="B166" s="7"/>
      <c r="C166" s="8"/>
      <c r="D166" s="8"/>
      <c r="E166" s="8"/>
      <c r="F166" s="8"/>
      <c r="G166" s="23" t="s">
        <v>17</v>
      </c>
      <c r="J166" s="9"/>
    </row>
    <row r="167" spans="1:10" x14ac:dyDescent="0.25">
      <c r="A167" s="6" t="str">
        <f t="shared" ca="1" si="5"/>
        <v>Unsere Vertriebskanäle sind effizient</v>
      </c>
      <c r="B167" s="7"/>
      <c r="C167" s="8" t="s">
        <v>919</v>
      </c>
      <c r="D167" s="8" t="s">
        <v>920</v>
      </c>
      <c r="E167" s="8" t="s">
        <v>921</v>
      </c>
      <c r="F167" s="8" t="s">
        <v>1169</v>
      </c>
      <c r="G167" s="23" t="s">
        <v>17</v>
      </c>
      <c r="J167" s="9"/>
    </row>
    <row r="168" spans="1:10" x14ac:dyDescent="0.25">
      <c r="A168" s="6" t="str">
        <f t="shared" ca="1" si="5"/>
        <v>Unsere Vertriebskanäle sind wirksam (effektiv)</v>
      </c>
      <c r="B168" s="7"/>
      <c r="C168" s="8" t="s">
        <v>922</v>
      </c>
      <c r="D168" s="8" t="s">
        <v>923</v>
      </c>
      <c r="E168" s="8" t="s">
        <v>924</v>
      </c>
      <c r="F168" s="8" t="s">
        <v>1170</v>
      </c>
      <c r="G168" s="23" t="s">
        <v>17</v>
      </c>
      <c r="J168" s="9"/>
    </row>
    <row r="169" spans="1:10" x14ac:dyDescent="0.25">
      <c r="A169" s="6" t="str">
        <f t="shared" ca="1" si="5"/>
        <v>Die Penetration (Reichweite) der Vertriebskanäle ist gut</v>
      </c>
      <c r="B169" s="7"/>
      <c r="C169" s="8" t="s">
        <v>925</v>
      </c>
      <c r="D169" s="8" t="s">
        <v>141</v>
      </c>
      <c r="E169" s="8" t="s">
        <v>926</v>
      </c>
      <c r="F169" s="8" t="s">
        <v>1171</v>
      </c>
      <c r="G169" s="23" t="s">
        <v>17</v>
      </c>
      <c r="J169" s="9"/>
    </row>
    <row r="170" spans="1:10" ht="28.8" x14ac:dyDescent="0.25">
      <c r="A170" s="6" t="str">
        <f t="shared" ca="1" si="5"/>
        <v xml:space="preserve">Die Vertriebskanäle werden von unseren Kunden einfach identifiziert </v>
      </c>
      <c r="B170" s="7"/>
      <c r="C170" s="8" t="s">
        <v>142</v>
      </c>
      <c r="D170" s="8" t="s">
        <v>143</v>
      </c>
      <c r="E170" s="8" t="s">
        <v>927</v>
      </c>
      <c r="F170" s="8" t="s">
        <v>1172</v>
      </c>
      <c r="G170" s="23" t="s">
        <v>17</v>
      </c>
      <c r="J170" s="9"/>
    </row>
    <row r="171" spans="1:10" x14ac:dyDescent="0.25">
      <c r="A171" s="6" t="str">
        <f t="shared" ca="1" si="5"/>
        <v>Die Vertriebskanäle sind sehr stark integriert</v>
      </c>
      <c r="B171" s="7"/>
      <c r="C171" s="8" t="s">
        <v>144</v>
      </c>
      <c r="D171" s="8" t="s">
        <v>145</v>
      </c>
      <c r="E171" s="8" t="s">
        <v>928</v>
      </c>
      <c r="F171" s="8" t="s">
        <v>1173</v>
      </c>
      <c r="G171" s="23" t="s">
        <v>17</v>
      </c>
      <c r="J171" s="9"/>
    </row>
    <row r="172" spans="1:10" ht="43.2" x14ac:dyDescent="0.25">
      <c r="A172" s="6" t="str">
        <f t="shared" ca="1" si="5"/>
        <v xml:space="preserve">Mit den Vertriebskanäle können Synergien und Kostenvorteile realisiert werden (economies of scope, Verbundvorteile) </v>
      </c>
      <c r="B172" s="7"/>
      <c r="C172" s="8" t="s">
        <v>929</v>
      </c>
      <c r="D172" s="8" t="s">
        <v>146</v>
      </c>
      <c r="E172" s="8" t="s">
        <v>930</v>
      </c>
      <c r="F172" s="8" t="s">
        <v>1174</v>
      </c>
      <c r="G172" s="23" t="s">
        <v>17</v>
      </c>
      <c r="J172" s="9"/>
    </row>
    <row r="173" spans="1:10" ht="28.8" x14ac:dyDescent="0.25">
      <c r="A173" s="6" t="str">
        <f t="shared" ca="1" si="5"/>
        <v>Die Vertriebskanäle sind auf die Kundensegmente abgestimmt</v>
      </c>
      <c r="B173" s="7"/>
      <c r="C173" s="8" t="s">
        <v>931</v>
      </c>
      <c r="D173" s="8" t="s">
        <v>932</v>
      </c>
      <c r="E173" s="8" t="s">
        <v>933</v>
      </c>
      <c r="F173" s="8" t="s">
        <v>1175</v>
      </c>
      <c r="G173" s="23" t="s">
        <v>17</v>
      </c>
      <c r="J173" s="9"/>
    </row>
    <row r="174" spans="1:10" x14ac:dyDescent="0.25">
      <c r="A174" s="6">
        <f t="shared" ca="1" si="5"/>
        <v>0</v>
      </c>
      <c r="B174" s="7"/>
      <c r="C174" s="8"/>
      <c r="D174" s="8"/>
      <c r="E174" s="8"/>
      <c r="F174" s="8"/>
      <c r="G174" s="23" t="s">
        <v>17</v>
      </c>
      <c r="J174" s="9"/>
    </row>
    <row r="175" spans="1:10" x14ac:dyDescent="0.25">
      <c r="A175" s="6" t="str">
        <f t="shared" ca="1" si="5"/>
        <v>Starke Kundenbeziehung</v>
      </c>
      <c r="B175" s="7"/>
      <c r="C175" s="8" t="s">
        <v>934</v>
      </c>
      <c r="D175" s="8" t="s">
        <v>935</v>
      </c>
      <c r="E175" s="8" t="s">
        <v>936</v>
      </c>
      <c r="F175" s="8" t="s">
        <v>1176</v>
      </c>
      <c r="G175" s="23" t="s">
        <v>17</v>
      </c>
      <c r="J175" s="9"/>
    </row>
    <row r="176" spans="1:10" ht="28.8" x14ac:dyDescent="0.25">
      <c r="A176" s="6" t="str">
        <f t="shared" ca="1" si="5"/>
        <v>Die Qualität der Beziehung entspricht der Kundensegmentierung</v>
      </c>
      <c r="B176" s="7"/>
      <c r="C176" s="8" t="s">
        <v>147</v>
      </c>
      <c r="D176" s="8" t="s">
        <v>937</v>
      </c>
      <c r="E176" s="8" t="s">
        <v>938</v>
      </c>
      <c r="F176" s="8" t="s">
        <v>1177</v>
      </c>
      <c r="G176" s="23" t="s">
        <v>17</v>
      </c>
      <c r="J176" s="9"/>
    </row>
    <row r="177" spans="1:10" ht="28.8" x14ac:dyDescent="0.25">
      <c r="A177" s="6" t="str">
        <f t="shared" ca="1" si="5"/>
        <v>Die Kundenbindung ist so stark, dass ein Wechsel hohe Kosten für den Kunden bringt</v>
      </c>
      <c r="B177" s="7"/>
      <c r="C177" s="8" t="s">
        <v>939</v>
      </c>
      <c r="D177" s="8" t="s">
        <v>940</v>
      </c>
      <c r="E177" s="8" t="s">
        <v>941</v>
      </c>
      <c r="F177" s="8" t="s">
        <v>1178</v>
      </c>
      <c r="G177" s="23" t="s">
        <v>17</v>
      </c>
      <c r="J177" s="9"/>
    </row>
    <row r="178" spans="1:10" x14ac:dyDescent="0.25">
      <c r="A178" s="6" t="str">
        <f t="shared" ca="1" si="5"/>
        <v>Unsere Marke ist stark</v>
      </c>
      <c r="B178" s="7"/>
      <c r="C178" s="8" t="s">
        <v>148</v>
      </c>
      <c r="D178" s="8" t="s">
        <v>149</v>
      </c>
      <c r="E178" s="8" t="s">
        <v>942</v>
      </c>
      <c r="F178" s="8" t="s">
        <v>1179</v>
      </c>
      <c r="G178" s="23" t="s">
        <v>17</v>
      </c>
      <c r="J178" s="9"/>
    </row>
    <row r="179" spans="1:10" x14ac:dyDescent="0.25">
      <c r="A179" s="6">
        <f t="shared" ca="1" si="5"/>
        <v>0</v>
      </c>
      <c r="B179" s="7"/>
      <c r="C179" s="8"/>
      <c r="D179" s="8"/>
      <c r="E179" s="8"/>
      <c r="F179" s="8"/>
      <c r="G179" s="23" t="s">
        <v>17</v>
      </c>
      <c r="J179" s="9"/>
    </row>
    <row r="180" spans="1:10" ht="28.8" x14ac:dyDescent="0.25">
      <c r="A180" s="6" t="str">
        <f t="shared" ca="1" si="5"/>
        <v>Unsere wichtigsten Ressourcen sind für Konkurrenten schwierig zu kopieren</v>
      </c>
      <c r="B180" s="7"/>
      <c r="C180" s="8" t="s">
        <v>150</v>
      </c>
      <c r="D180" s="8" t="s">
        <v>151</v>
      </c>
      <c r="E180" s="8" t="s">
        <v>943</v>
      </c>
      <c r="F180" s="8" t="s">
        <v>1180</v>
      </c>
      <c r="G180" s="23" t="s">
        <v>17</v>
      </c>
      <c r="J180" s="9"/>
    </row>
    <row r="181" spans="1:10" x14ac:dyDescent="0.25">
      <c r="A181" s="6" t="str">
        <f t="shared" ref="A181:A212" ca="1" si="6">OFFSET($C181,0,$Z$5-1)</f>
        <v>Der Bedarf an Ressourcen ist vorhersehbar</v>
      </c>
      <c r="B181" s="7"/>
      <c r="C181" s="8" t="s">
        <v>152</v>
      </c>
      <c r="D181" s="8" t="s">
        <v>153</v>
      </c>
      <c r="E181" s="8" t="s">
        <v>944</v>
      </c>
      <c r="F181" s="8" t="s">
        <v>1181</v>
      </c>
      <c r="G181" s="23" t="s">
        <v>17</v>
      </c>
      <c r="J181" s="9"/>
    </row>
    <row r="182" spans="1:10" ht="28.8" x14ac:dyDescent="0.25">
      <c r="A182" s="6" t="str">
        <f t="shared" ca="1" si="6"/>
        <v>Wir setzen die unsere Kernressourcen zum richtigen Zeitpunkt und in der richtigen Menge ein</v>
      </c>
      <c r="B182" s="7"/>
      <c r="C182" s="8" t="s">
        <v>945</v>
      </c>
      <c r="D182" s="8" t="s">
        <v>946</v>
      </c>
      <c r="E182" s="8" t="s">
        <v>947</v>
      </c>
      <c r="F182" s="8" t="s">
        <v>1182</v>
      </c>
      <c r="G182" s="23" t="s">
        <v>17</v>
      </c>
      <c r="J182" s="9"/>
    </row>
    <row r="183" spans="1:10" x14ac:dyDescent="0.25">
      <c r="A183" s="6">
        <f t="shared" ca="1" si="6"/>
        <v>0</v>
      </c>
      <c r="B183" s="7"/>
      <c r="C183" s="8"/>
      <c r="D183" s="8"/>
      <c r="E183" s="8"/>
      <c r="F183" s="8"/>
      <c r="G183" s="23" t="s">
        <v>17</v>
      </c>
      <c r="J183" s="9"/>
    </row>
    <row r="184" spans="1:10" x14ac:dyDescent="0.25">
      <c r="A184" s="6" t="str">
        <f t="shared" ca="1" si="6"/>
        <v xml:space="preserve">Wir setzen unser Kerngeschäft effektiv um </v>
      </c>
      <c r="B184" s="7"/>
      <c r="C184" s="8" t="s">
        <v>154</v>
      </c>
      <c r="D184" s="8" t="s">
        <v>155</v>
      </c>
      <c r="E184" s="8" t="s">
        <v>948</v>
      </c>
      <c r="F184" s="8" t="s">
        <v>1183</v>
      </c>
      <c r="G184" s="23" t="s">
        <v>17</v>
      </c>
      <c r="J184" s="9"/>
    </row>
    <row r="185" spans="1:10" x14ac:dyDescent="0.25">
      <c r="A185" s="6" t="str">
        <f t="shared" ca="1" si="6"/>
        <v>Unsere Kernaktivitäten sind schwierig zu kopieren</v>
      </c>
      <c r="B185" s="7"/>
      <c r="C185" s="8" t="s">
        <v>156</v>
      </c>
      <c r="D185" s="8" t="s">
        <v>157</v>
      </c>
      <c r="E185" s="8" t="s">
        <v>949</v>
      </c>
      <c r="F185" s="8" t="s">
        <v>1184</v>
      </c>
      <c r="G185" s="23" t="s">
        <v>17</v>
      </c>
      <c r="J185" s="9"/>
    </row>
    <row r="186" spans="1:10" x14ac:dyDescent="0.25">
      <c r="A186" s="6" t="str">
        <f t="shared" ca="1" si="6"/>
        <v>Die Ausführungsqualität ist hoch</v>
      </c>
      <c r="B186" s="7"/>
      <c r="C186" s="8" t="s">
        <v>158</v>
      </c>
      <c r="D186" s="8" t="s">
        <v>159</v>
      </c>
      <c r="E186" s="8" t="s">
        <v>950</v>
      </c>
      <c r="F186" s="8" t="s">
        <v>1185</v>
      </c>
      <c r="G186" s="23" t="s">
        <v>17</v>
      </c>
      <c r="J186" s="9"/>
    </row>
    <row r="187" spans="1:10" ht="28.8" x14ac:dyDescent="0.25">
      <c r="A187" s="6" t="str">
        <f t="shared" ca="1" si="6"/>
        <v>Die Balance zwischen internen und ausgelagerten Tätigkeiten ist ideal</v>
      </c>
      <c r="B187" s="7"/>
      <c r="C187" s="8" t="s">
        <v>160</v>
      </c>
      <c r="D187" s="8" t="s">
        <v>161</v>
      </c>
      <c r="E187" s="8" t="s">
        <v>951</v>
      </c>
      <c r="F187" s="8" t="s">
        <v>1186</v>
      </c>
      <c r="G187" s="23" t="s">
        <v>17</v>
      </c>
      <c r="J187" s="9"/>
    </row>
    <row r="188" spans="1:10" x14ac:dyDescent="0.25">
      <c r="A188" s="6">
        <f t="shared" ca="1" si="6"/>
        <v>0</v>
      </c>
      <c r="B188" s="7"/>
      <c r="C188" s="8"/>
      <c r="D188" s="8"/>
      <c r="E188" s="8"/>
      <c r="F188" s="8"/>
      <c r="G188" s="23" t="s">
        <v>17</v>
      </c>
      <c r="J188" s="9"/>
    </row>
    <row r="189" spans="1:10" ht="28.8" x14ac:dyDescent="0.25">
      <c r="A189" s="6" t="str">
        <f t="shared" ca="1" si="6"/>
        <v>Wir sind Partnerorientiert und arbeiten falls notwendig mit ihnen zusammen.</v>
      </c>
      <c r="B189" s="7"/>
      <c r="C189" s="8" t="s">
        <v>952</v>
      </c>
      <c r="D189" s="8" t="s">
        <v>162</v>
      </c>
      <c r="E189" s="8" t="s">
        <v>953</v>
      </c>
      <c r="F189" s="8" t="s">
        <v>1187</v>
      </c>
      <c r="G189" s="23" t="s">
        <v>17</v>
      </c>
      <c r="J189" s="9"/>
    </row>
    <row r="190" spans="1:10" ht="28.8" x14ac:dyDescent="0.25">
      <c r="A190" s="6" t="str">
        <f t="shared" ca="1" si="6"/>
        <v>Wir pflegen eine gute Zusammenarbeit mit unseren wichtigsten Partnern</v>
      </c>
      <c r="B190" s="7"/>
      <c r="C190" s="8" t="s">
        <v>163</v>
      </c>
      <c r="D190" s="8" t="s">
        <v>164</v>
      </c>
      <c r="E190" s="8" t="s">
        <v>954</v>
      </c>
      <c r="F190" s="8" t="s">
        <v>1188</v>
      </c>
      <c r="G190" s="23" t="s">
        <v>17</v>
      </c>
      <c r="J190" s="9"/>
    </row>
    <row r="191" spans="1:10" ht="28.8" x14ac:dyDescent="0.25">
      <c r="A191" s="6" t="str">
        <f t="shared" ca="1" si="6"/>
        <v>Auswirkung 
(1 - 10)</v>
      </c>
      <c r="B191" s="7"/>
      <c r="C191" s="8" t="s">
        <v>955</v>
      </c>
      <c r="D191" s="8" t="s">
        <v>165</v>
      </c>
      <c r="E191" s="8" t="s">
        <v>165</v>
      </c>
      <c r="F191" s="8" t="s">
        <v>1189</v>
      </c>
      <c r="G191" s="23" t="s">
        <v>17</v>
      </c>
      <c r="J191" s="9"/>
    </row>
    <row r="192" spans="1:10" x14ac:dyDescent="0.25">
      <c r="A192" s="6" t="str">
        <f t="shared" ca="1" si="6"/>
        <v>Bemerkungen</v>
      </c>
      <c r="B192" s="7"/>
      <c r="C192" s="8" t="s">
        <v>43</v>
      </c>
      <c r="D192" s="8" t="s">
        <v>44</v>
      </c>
      <c r="E192" s="8" t="s">
        <v>1049</v>
      </c>
      <c r="F192" s="8" t="s">
        <v>1085</v>
      </c>
      <c r="G192" s="23" t="s">
        <v>17</v>
      </c>
      <c r="J192" s="9"/>
    </row>
    <row r="193" spans="1:26" x14ac:dyDescent="0.25">
      <c r="A193" s="6" t="str">
        <f t="shared" ca="1" si="6"/>
        <v>Fragen:</v>
      </c>
      <c r="B193" s="7"/>
      <c r="C193" s="8" t="s">
        <v>166</v>
      </c>
      <c r="D193" s="8" t="s">
        <v>167</v>
      </c>
      <c r="E193" s="8" t="s">
        <v>167</v>
      </c>
      <c r="F193" s="8" t="s">
        <v>1190</v>
      </c>
      <c r="G193" s="23" t="s">
        <v>17</v>
      </c>
      <c r="J193" s="9"/>
    </row>
    <row r="194" spans="1:26" x14ac:dyDescent="0.25">
      <c r="A194" s="6" t="str">
        <f t="shared" ca="1" si="6"/>
        <v>Auswirkung:</v>
      </c>
      <c r="B194" s="7"/>
      <c r="C194" s="8" t="s">
        <v>168</v>
      </c>
      <c r="D194" s="8" t="s">
        <v>169</v>
      </c>
      <c r="E194" s="8" t="s">
        <v>169</v>
      </c>
      <c r="F194" s="8" t="s">
        <v>1191</v>
      </c>
      <c r="G194" s="23" t="s">
        <v>17</v>
      </c>
      <c r="J194" s="9"/>
    </row>
    <row r="195" spans="1:26" x14ac:dyDescent="0.25">
      <c r="A195" s="6" t="str">
        <f t="shared" ca="1" si="6"/>
        <v>Total Punkte :</v>
      </c>
      <c r="B195" s="7"/>
      <c r="C195" s="8" t="s">
        <v>170</v>
      </c>
      <c r="D195" s="8" t="s">
        <v>171</v>
      </c>
      <c r="E195" s="8" t="s">
        <v>171</v>
      </c>
      <c r="F195" s="8" t="s">
        <v>1192</v>
      </c>
      <c r="G195" s="23" t="s">
        <v>17</v>
      </c>
      <c r="J195" s="9"/>
    </row>
    <row r="196" spans="1:26" x14ac:dyDescent="0.25">
      <c r="A196" s="6" t="str">
        <f t="shared" ca="1" si="6"/>
        <v xml:space="preserve"> von </v>
      </c>
      <c r="B196" s="7"/>
      <c r="C196" s="8" t="s">
        <v>172</v>
      </c>
      <c r="D196" s="8" t="s">
        <v>173</v>
      </c>
      <c r="E196" s="8" t="s">
        <v>1050</v>
      </c>
      <c r="F196" s="8" t="s">
        <v>1193</v>
      </c>
      <c r="G196" s="23" t="s">
        <v>17</v>
      </c>
      <c r="J196" s="9"/>
    </row>
    <row r="197" spans="1:26" x14ac:dyDescent="0.25">
      <c r="A197" s="6" t="str">
        <f t="shared" ca="1" si="6"/>
        <v>Zusammenfassung</v>
      </c>
      <c r="B197" s="7"/>
      <c r="C197" s="8" t="s">
        <v>174</v>
      </c>
      <c r="D197" s="8" t="s">
        <v>175</v>
      </c>
      <c r="E197" s="8" t="s">
        <v>1051</v>
      </c>
      <c r="F197" s="8" t="s">
        <v>1194</v>
      </c>
      <c r="G197" s="23" t="s">
        <v>17</v>
      </c>
      <c r="J197" s="9"/>
    </row>
    <row r="198" spans="1:26" x14ac:dyDescent="0.25">
      <c r="A198" s="6" t="str">
        <f t="shared" ca="1" si="6"/>
        <v>SW</v>
      </c>
      <c r="B198" s="7"/>
      <c r="C198" s="8" t="s">
        <v>956</v>
      </c>
      <c r="D198" s="8" t="s">
        <v>956</v>
      </c>
      <c r="E198" s="8" t="s">
        <v>956</v>
      </c>
      <c r="F198" s="8" t="s">
        <v>956</v>
      </c>
      <c r="G198" s="23" t="s">
        <v>17</v>
      </c>
      <c r="J198" s="9"/>
    </row>
    <row r="199" spans="1:26" x14ac:dyDescent="0.25">
      <c r="A199" s="25" t="str">
        <f t="shared" ca="1" si="6"/>
        <v>OT</v>
      </c>
      <c r="B199" s="7"/>
      <c r="C199" s="26" t="s">
        <v>957</v>
      </c>
      <c r="D199" s="26" t="s">
        <v>957</v>
      </c>
      <c r="E199" s="26" t="s">
        <v>957</v>
      </c>
      <c r="F199" s="26" t="s">
        <v>957</v>
      </c>
      <c r="G199" s="27" t="s">
        <v>17</v>
      </c>
      <c r="J199" s="9"/>
    </row>
    <row r="200" spans="1:26" s="19" customFormat="1" x14ac:dyDescent="0.25">
      <c r="A200" s="16" t="str">
        <f t="shared" ca="1" si="6"/>
        <v>C A N V A S : C H A N C E N   &amp;   G E F A H R E N</v>
      </c>
      <c r="B200" s="17"/>
      <c r="C200" s="16" t="s">
        <v>958</v>
      </c>
      <c r="D200" s="16" t="s">
        <v>959</v>
      </c>
      <c r="E200" s="16" t="s">
        <v>1195</v>
      </c>
      <c r="F200" s="16" t="s">
        <v>1196</v>
      </c>
      <c r="G200" s="18" t="s">
        <v>17</v>
      </c>
      <c r="I200" s="9"/>
      <c r="Z200" s="3"/>
    </row>
    <row r="201" spans="1:26" ht="28.8" x14ac:dyDescent="0.25">
      <c r="A201" s="20" t="str">
        <f t="shared" ca="1" si="6"/>
        <v>Wir können wiederkehrende Einnahmen generieren, indem wir von Produkte Dienstleistungen ableiten</v>
      </c>
      <c r="B201" s="7"/>
      <c r="C201" s="28" t="s">
        <v>176</v>
      </c>
      <c r="D201" s="28" t="s">
        <v>177</v>
      </c>
      <c r="E201" s="28" t="s">
        <v>960</v>
      </c>
      <c r="F201" s="28" t="s">
        <v>1197</v>
      </c>
      <c r="G201" s="22" t="s">
        <v>17</v>
      </c>
      <c r="J201" s="9"/>
    </row>
    <row r="202" spans="1:26" x14ac:dyDescent="0.25">
      <c r="A202" s="6" t="str">
        <f t="shared" ca="1" si="6"/>
        <v xml:space="preserve">Wir integrieren unsere Produkte und Dienstleistungen </v>
      </c>
      <c r="B202" s="7"/>
      <c r="C202" s="8" t="s">
        <v>961</v>
      </c>
      <c r="D202" s="8" t="s">
        <v>962</v>
      </c>
      <c r="E202" s="8" t="s">
        <v>963</v>
      </c>
      <c r="F202" s="8" t="s">
        <v>1198</v>
      </c>
      <c r="G202" s="23" t="s">
        <v>17</v>
      </c>
      <c r="J202" s="9"/>
    </row>
    <row r="203" spans="1:26" ht="28.8" x14ac:dyDescent="0.25">
      <c r="A203" s="6" t="str">
        <f t="shared" ca="1" si="6"/>
        <v>Wir befriedigen zusätzliche Kundenbedürfnisse</v>
      </c>
      <c r="B203" s="7"/>
      <c r="C203" s="8" t="s">
        <v>964</v>
      </c>
      <c r="D203" s="8" t="s">
        <v>965</v>
      </c>
      <c r="E203" s="8" t="s">
        <v>966</v>
      </c>
      <c r="F203" s="8" t="s">
        <v>1199</v>
      </c>
      <c r="G203" s="23" t="s">
        <v>17</v>
      </c>
      <c r="J203" s="9"/>
    </row>
    <row r="204" spans="1:26" ht="28.8" x14ac:dyDescent="0.25">
      <c r="A204" s="6" t="str">
        <f t="shared" ca="1" si="6"/>
        <v>Es gibt Ergänzungen oder mögliche Erweiterungen für unsere Wertangebote (Value Propositions)</v>
      </c>
      <c r="B204" s="7"/>
      <c r="C204" s="8" t="s">
        <v>967</v>
      </c>
      <c r="D204" s="8" t="s">
        <v>178</v>
      </c>
      <c r="E204" s="8" t="s">
        <v>968</v>
      </c>
      <c r="F204" s="8" t="s">
        <v>1200</v>
      </c>
      <c r="G204" s="23" t="s">
        <v>17</v>
      </c>
      <c r="J204" s="9"/>
    </row>
    <row r="205" spans="1:26" ht="28.8" x14ac:dyDescent="0.25">
      <c r="A205" s="6" t="str">
        <f t="shared" ca="1" si="6"/>
        <v>Wir können unserer Kunden zusätzliche Dienstleistungen anbieten</v>
      </c>
      <c r="B205" s="7"/>
      <c r="C205" s="8" t="s">
        <v>969</v>
      </c>
      <c r="D205" s="8" t="s">
        <v>179</v>
      </c>
      <c r="E205" s="8" t="s">
        <v>970</v>
      </c>
      <c r="F205" s="8" t="s">
        <v>1201</v>
      </c>
      <c r="G205" s="23" t="s">
        <v>17</v>
      </c>
      <c r="J205" s="9"/>
    </row>
    <row r="206" spans="1:26" ht="28.8" x14ac:dyDescent="0.25">
      <c r="A206" s="6" t="str">
        <f t="shared" ca="1" si="6"/>
        <v>Es gibt Ersatzprodukte und -dienstleistungen</v>
      </c>
      <c r="B206" s="7"/>
      <c r="C206" s="8" t="s">
        <v>180</v>
      </c>
      <c r="D206" s="8" t="s">
        <v>181</v>
      </c>
      <c r="E206" s="8" t="s">
        <v>971</v>
      </c>
      <c r="F206" s="8" t="s">
        <v>1202</v>
      </c>
      <c r="G206" s="23" t="s">
        <v>17</v>
      </c>
      <c r="J206" s="9"/>
    </row>
    <row r="207" spans="1:26" ht="28.8" x14ac:dyDescent="0.25">
      <c r="A207" s="6" t="str">
        <f t="shared" ca="1" si="6"/>
        <v>Wettbewerber können den Kunden tiefere Preise und Mehrwert anbieten</v>
      </c>
      <c r="B207" s="7"/>
      <c r="C207" s="8" t="s">
        <v>972</v>
      </c>
      <c r="D207" s="8" t="s">
        <v>182</v>
      </c>
      <c r="E207" s="8" t="s">
        <v>973</v>
      </c>
      <c r="F207" s="8" t="s">
        <v>1203</v>
      </c>
      <c r="G207" s="23" t="s">
        <v>17</v>
      </c>
      <c r="J207" s="9"/>
    </row>
    <row r="208" spans="1:26" x14ac:dyDescent="0.25">
      <c r="A208" s="6">
        <f t="shared" ca="1" si="6"/>
        <v>0</v>
      </c>
      <c r="B208" s="7"/>
      <c r="C208" s="8"/>
      <c r="D208" s="8"/>
      <c r="E208" s="8"/>
      <c r="F208" s="8" t="s">
        <v>844</v>
      </c>
      <c r="G208" s="23" t="s">
        <v>17</v>
      </c>
      <c r="J208" s="9"/>
    </row>
    <row r="209" spans="1:10" ht="28.8" x14ac:dyDescent="0.25">
      <c r="A209" s="6" t="str">
        <f t="shared" ca="1" si="6"/>
        <v>Wir können einmalige Umsätze  durch wiederkehrenden Einkommen ersetzen</v>
      </c>
      <c r="B209" s="7"/>
      <c r="C209" s="8" t="s">
        <v>974</v>
      </c>
      <c r="D209" s="8" t="s">
        <v>183</v>
      </c>
      <c r="E209" s="8" t="s">
        <v>975</v>
      </c>
      <c r="F209" s="8" t="s">
        <v>1204</v>
      </c>
      <c r="G209" s="23" t="s">
        <v>17</v>
      </c>
      <c r="J209" s="9"/>
    </row>
    <row r="210" spans="1:10" ht="28.8" x14ac:dyDescent="0.25">
      <c r="A210" s="6" t="str">
        <f t="shared" ca="1" si="6"/>
        <v>Unsere Kunden sind bereit für zusätzliche Produkte oder Dienstleistungen zu bezahlen</v>
      </c>
      <c r="B210" s="7"/>
      <c r="C210" s="8" t="s">
        <v>184</v>
      </c>
      <c r="D210" s="8" t="s">
        <v>185</v>
      </c>
      <c r="E210" s="8" t="s">
        <v>976</v>
      </c>
      <c r="F210" s="8" t="s">
        <v>1205</v>
      </c>
      <c r="G210" s="23" t="s">
        <v>17</v>
      </c>
      <c r="J210" s="9"/>
    </row>
    <row r="211" spans="1:10" ht="28.8" x14ac:dyDescent="0.25">
      <c r="A211" s="6" t="str">
        <f t="shared" ca="1" si="6"/>
        <v>Wir haben Cross-Selling-Möglichkeit intern oder mit Partner zu tätigen</v>
      </c>
      <c r="B211" s="7"/>
      <c r="C211" s="8" t="s">
        <v>977</v>
      </c>
      <c r="D211" s="8" t="s">
        <v>186</v>
      </c>
      <c r="E211" s="8" t="s">
        <v>978</v>
      </c>
      <c r="F211" s="8" t="s">
        <v>1206</v>
      </c>
      <c r="G211" s="23" t="s">
        <v>17</v>
      </c>
      <c r="J211" s="9"/>
    </row>
    <row r="212" spans="1:10" ht="28.8" x14ac:dyDescent="0.25">
      <c r="A212" s="6" t="str">
        <f t="shared" ca="1" si="6"/>
        <v>Wir können zusätzliche Einnahmequellen generieren oder neu entwickeln</v>
      </c>
      <c r="B212" s="7"/>
      <c r="C212" s="8" t="s">
        <v>187</v>
      </c>
      <c r="D212" s="8" t="s">
        <v>188</v>
      </c>
      <c r="E212" s="8" t="s">
        <v>979</v>
      </c>
      <c r="F212" s="8" t="s">
        <v>1207</v>
      </c>
      <c r="G212" s="23" t="s">
        <v>17</v>
      </c>
      <c r="J212" s="9"/>
    </row>
    <row r="213" spans="1:10" x14ac:dyDescent="0.25">
      <c r="A213" s="6" t="str">
        <f t="shared" ref="A213:A244" ca="1" si="7">OFFSET($C213,0,$Z$5-1)</f>
        <v>Wir können die Preise erhöhen</v>
      </c>
      <c r="B213" s="7"/>
      <c r="C213" s="8" t="s">
        <v>189</v>
      </c>
      <c r="D213" s="8" t="s">
        <v>190</v>
      </c>
      <c r="E213" s="8" t="s">
        <v>980</v>
      </c>
      <c r="F213" s="8" t="s">
        <v>1208</v>
      </c>
      <c r="G213" s="23" t="s">
        <v>17</v>
      </c>
      <c r="J213" s="9"/>
    </row>
    <row r="214" spans="1:10" ht="28.8" x14ac:dyDescent="0.25">
      <c r="A214" s="6" t="str">
        <f t="shared" ca="1" si="7"/>
        <v>Unsere Margen sind durch Konkurrenten und/oder neuen Technologien gefährdet</v>
      </c>
      <c r="B214" s="7"/>
      <c r="C214" s="8" t="s">
        <v>981</v>
      </c>
      <c r="D214" s="8" t="s">
        <v>191</v>
      </c>
      <c r="E214" s="8" t="s">
        <v>982</v>
      </c>
      <c r="F214" s="8" t="s">
        <v>1209</v>
      </c>
      <c r="G214" s="23" t="s">
        <v>17</v>
      </c>
      <c r="J214" s="9"/>
    </row>
    <row r="215" spans="1:10" ht="28.8" x14ac:dyDescent="0.25">
      <c r="A215" s="6" t="str">
        <f t="shared" ca="1" si="7"/>
        <v>Wir sind von einem oder mehreren Einkommensquellen abhängig</v>
      </c>
      <c r="B215" s="7"/>
      <c r="C215" s="8" t="s">
        <v>192</v>
      </c>
      <c r="D215" s="8" t="s">
        <v>983</v>
      </c>
      <c r="E215" s="8" t="s">
        <v>984</v>
      </c>
      <c r="F215" s="8" t="s">
        <v>1210</v>
      </c>
      <c r="G215" s="23" t="s">
        <v>17</v>
      </c>
      <c r="J215" s="9"/>
    </row>
    <row r="216" spans="1:10" ht="28.8" x14ac:dyDescent="0.25">
      <c r="A216" s="6" t="str">
        <f t="shared" ca="1" si="7"/>
        <v>Wir haben Einnahmequellen, die bald versiegen werden</v>
      </c>
      <c r="B216" s="7"/>
      <c r="C216" s="8" t="s">
        <v>193</v>
      </c>
      <c r="D216" s="8" t="s">
        <v>194</v>
      </c>
      <c r="E216" s="8" t="s">
        <v>985</v>
      </c>
      <c r="F216" s="8" t="s">
        <v>1211</v>
      </c>
      <c r="G216" s="23" t="s">
        <v>17</v>
      </c>
      <c r="J216" s="9"/>
    </row>
    <row r="217" spans="1:10" x14ac:dyDescent="0.25">
      <c r="A217" s="6">
        <f t="shared" ca="1" si="7"/>
        <v>0</v>
      </c>
      <c r="B217" s="7"/>
      <c r="C217" s="8"/>
      <c r="D217" s="8"/>
      <c r="E217" s="8"/>
      <c r="F217" s="8" t="s">
        <v>844</v>
      </c>
      <c r="G217" s="23" t="s">
        <v>17</v>
      </c>
      <c r="J217" s="9"/>
    </row>
    <row r="218" spans="1:10" x14ac:dyDescent="0.25">
      <c r="A218" s="6" t="str">
        <f t="shared" ca="1" si="7"/>
        <v>Wir können unsere Kosten senken</v>
      </c>
      <c r="B218" s="7"/>
      <c r="C218" s="8" t="s">
        <v>195</v>
      </c>
      <c r="D218" s="8" t="s">
        <v>196</v>
      </c>
      <c r="E218" s="8" t="s">
        <v>986</v>
      </c>
      <c r="F218" s="8" t="s">
        <v>1212</v>
      </c>
      <c r="G218" s="23" t="s">
        <v>17</v>
      </c>
      <c r="J218" s="9"/>
    </row>
    <row r="219" spans="1:10" x14ac:dyDescent="0.25">
      <c r="A219" s="6" t="str">
        <f t="shared" ca="1" si="7"/>
        <v>Einige Kosten können unberechenbar werden</v>
      </c>
      <c r="B219" s="7"/>
      <c r="C219" s="8" t="s">
        <v>197</v>
      </c>
      <c r="D219" s="8" t="s">
        <v>198</v>
      </c>
      <c r="E219" s="8" t="s">
        <v>987</v>
      </c>
      <c r="F219" s="8" t="s">
        <v>1213</v>
      </c>
      <c r="G219" s="23" t="s">
        <v>17</v>
      </c>
      <c r="J219" s="9"/>
    </row>
    <row r="220" spans="1:10" ht="28.8" x14ac:dyDescent="0.25">
      <c r="A220" s="6" t="str">
        <f t="shared" ca="1" si="7"/>
        <v>Einige Kosten drohen schneller zu wachsen als die entsprechenden Einkünfte</v>
      </c>
      <c r="B220" s="7"/>
      <c r="C220" s="8" t="s">
        <v>199</v>
      </c>
      <c r="D220" s="8" t="s">
        <v>200</v>
      </c>
      <c r="E220" s="8" t="s">
        <v>988</v>
      </c>
      <c r="F220" s="8" t="s">
        <v>1214</v>
      </c>
      <c r="G220" s="23" t="s">
        <v>17</v>
      </c>
      <c r="J220" s="9"/>
    </row>
    <row r="221" spans="1:10" x14ac:dyDescent="0.25">
      <c r="A221" s="6">
        <f t="shared" ca="1" si="7"/>
        <v>0</v>
      </c>
      <c r="B221" s="7"/>
      <c r="C221" s="8"/>
      <c r="D221" s="8"/>
      <c r="E221" s="8"/>
      <c r="F221" s="8" t="s">
        <v>844</v>
      </c>
      <c r="G221" s="23" t="s">
        <v>17</v>
      </c>
      <c r="J221" s="9"/>
    </row>
    <row r="222" spans="1:10" ht="28.8" x14ac:dyDescent="0.25">
      <c r="A222" s="6" t="str">
        <f t="shared" ca="1" si="7"/>
        <v>Wir können von einem wachsenden Markt profitieren</v>
      </c>
      <c r="B222" s="7"/>
      <c r="C222" s="8" t="s">
        <v>989</v>
      </c>
      <c r="D222" s="8" t="s">
        <v>990</v>
      </c>
      <c r="E222" s="8" t="s">
        <v>991</v>
      </c>
      <c r="F222" s="8" t="s">
        <v>1215</v>
      </c>
      <c r="G222" s="23" t="s">
        <v>17</v>
      </c>
      <c r="J222" s="9"/>
    </row>
    <row r="223" spans="1:10" x14ac:dyDescent="0.25">
      <c r="A223" s="6" t="str">
        <f t="shared" ca="1" si="7"/>
        <v>Wir können neue Kundensegemente bedienen</v>
      </c>
      <c r="B223" s="7"/>
      <c r="C223" s="8" t="s">
        <v>201</v>
      </c>
      <c r="D223" s="8" t="s">
        <v>202</v>
      </c>
      <c r="E223" s="8" t="s">
        <v>992</v>
      </c>
      <c r="F223" s="8" t="s">
        <v>1216</v>
      </c>
      <c r="G223" s="23" t="s">
        <v>17</v>
      </c>
      <c r="J223" s="9"/>
    </row>
    <row r="224" spans="1:10" ht="28.8" x14ac:dyDescent="0.25">
      <c r="A224" s="6" t="str">
        <f t="shared" ca="1" si="7"/>
        <v>Aufgrund einer feineren Segmentierung,  können wir unsere Kunden besser bedienen</v>
      </c>
      <c r="B224" s="7"/>
      <c r="C224" s="8" t="s">
        <v>203</v>
      </c>
      <c r="D224" s="8" t="s">
        <v>204</v>
      </c>
      <c r="E224" s="8" t="s">
        <v>993</v>
      </c>
      <c r="F224" s="8" t="s">
        <v>1217</v>
      </c>
      <c r="G224" s="23" t="s">
        <v>17</v>
      </c>
      <c r="J224" s="9"/>
    </row>
    <row r="225" spans="1:10" ht="28.8" x14ac:dyDescent="0.25">
      <c r="A225" s="6" t="str">
        <f t="shared" ca="1" si="7"/>
        <v>Es besteht die Gefahr, dass unser Markt bald gesättigt ist</v>
      </c>
      <c r="B225" s="7"/>
      <c r="C225" s="8" t="s">
        <v>205</v>
      </c>
      <c r="D225" s="8" t="s">
        <v>206</v>
      </c>
      <c r="E225" s="8" t="s">
        <v>994</v>
      </c>
      <c r="F225" s="8" t="s">
        <v>1218</v>
      </c>
      <c r="G225" s="23" t="s">
        <v>17</v>
      </c>
      <c r="J225" s="9"/>
    </row>
    <row r="226" spans="1:10" x14ac:dyDescent="0.25">
      <c r="A226" s="6" t="str">
        <f t="shared" ca="1" si="7"/>
        <v>Unsere Konkurrenten bedrohen unseren Marktanteil</v>
      </c>
      <c r="B226" s="7"/>
      <c r="C226" s="8" t="s">
        <v>207</v>
      </c>
      <c r="D226" s="8" t="s">
        <v>208</v>
      </c>
      <c r="E226" s="8" t="s">
        <v>995</v>
      </c>
      <c r="F226" s="8" t="s">
        <v>1219</v>
      </c>
      <c r="G226" s="23" t="s">
        <v>17</v>
      </c>
      <c r="J226" s="9"/>
    </row>
    <row r="227" spans="1:10" x14ac:dyDescent="0.25">
      <c r="A227" s="6" t="str">
        <f t="shared" ca="1" si="7"/>
        <v>Es besteht die Möglichkeit, dass wir Kunden verlieren</v>
      </c>
      <c r="B227" s="7"/>
      <c r="C227" s="8" t="s">
        <v>209</v>
      </c>
      <c r="D227" s="8" t="s">
        <v>210</v>
      </c>
      <c r="E227" s="8" t="s">
        <v>996</v>
      </c>
      <c r="F227" s="8" t="s">
        <v>1220</v>
      </c>
      <c r="G227" s="23" t="s">
        <v>17</v>
      </c>
      <c r="J227" s="9"/>
    </row>
    <row r="228" spans="1:10" ht="28.8" x14ac:dyDescent="0.25">
      <c r="A228" s="6" t="str">
        <f t="shared" ca="1" si="7"/>
        <v>Es besteht die Gefahr, dass unsere Kunden in Zahlungsverzug geraten</v>
      </c>
      <c r="B228" s="7"/>
      <c r="C228" s="8" t="s">
        <v>211</v>
      </c>
      <c r="D228" s="8" t="s">
        <v>212</v>
      </c>
      <c r="E228" s="8" t="s">
        <v>997</v>
      </c>
      <c r="F228" s="8" t="s">
        <v>1221</v>
      </c>
      <c r="G228" s="23" t="s">
        <v>17</v>
      </c>
      <c r="J228" s="9"/>
    </row>
    <row r="229" spans="1:10" ht="28.8" x14ac:dyDescent="0.25">
      <c r="A229" s="6" t="str">
        <f t="shared" ca="1" si="7"/>
        <v>Es besteht das Risiko, dass sich der Wettbewerb verschärft</v>
      </c>
      <c r="B229" s="7"/>
      <c r="C229" s="8" t="s">
        <v>213</v>
      </c>
      <c r="D229" s="8" t="s">
        <v>998</v>
      </c>
      <c r="E229" s="8" t="s">
        <v>999</v>
      </c>
      <c r="F229" s="8" t="s">
        <v>1222</v>
      </c>
      <c r="G229" s="23" t="s">
        <v>17</v>
      </c>
      <c r="J229" s="9"/>
    </row>
    <row r="230" spans="1:10" x14ac:dyDescent="0.25">
      <c r="A230" s="6">
        <f t="shared" ca="1" si="7"/>
        <v>0</v>
      </c>
      <c r="B230" s="7"/>
      <c r="C230" s="8"/>
      <c r="D230" s="8"/>
      <c r="E230" s="8"/>
      <c r="F230" s="8" t="s">
        <v>844</v>
      </c>
      <c r="G230" s="23" t="s">
        <v>17</v>
      </c>
      <c r="J230" s="9"/>
    </row>
    <row r="231" spans="1:10" ht="28.8" x14ac:dyDescent="0.25">
      <c r="A231" s="6" t="str">
        <f t="shared" ca="1" si="7"/>
        <v>Wir können die Effizienz und Effektivität unserer Vertriebskanäle verbessern</v>
      </c>
      <c r="B231" s="7"/>
      <c r="C231" s="8" t="s">
        <v>1000</v>
      </c>
      <c r="D231" s="8" t="s">
        <v>1001</v>
      </c>
      <c r="E231" s="8" t="s">
        <v>1002</v>
      </c>
      <c r="F231" s="8" t="s">
        <v>1223</v>
      </c>
      <c r="G231" s="23" t="s">
        <v>17</v>
      </c>
      <c r="J231" s="9"/>
    </row>
    <row r="232" spans="1:10" x14ac:dyDescent="0.25">
      <c r="A232" s="6" t="str">
        <f t="shared" ca="1" si="7"/>
        <v>Wir können unserer Vertriebskanäle besser integrieren</v>
      </c>
      <c r="B232" s="7"/>
      <c r="C232" s="8" t="s">
        <v>1003</v>
      </c>
      <c r="D232" s="8" t="s">
        <v>214</v>
      </c>
      <c r="E232" s="8" t="s">
        <v>1004</v>
      </c>
      <c r="F232" s="8" t="s">
        <v>1224</v>
      </c>
      <c r="G232" s="23" t="s">
        <v>17</v>
      </c>
      <c r="J232" s="9"/>
    </row>
    <row r="233" spans="1:10" ht="28.8" x14ac:dyDescent="0.25">
      <c r="A233" s="6" t="str">
        <f t="shared" ca="1" si="7"/>
        <v>Wir können zusätzliche Partner-Vertriebskanäle finden</v>
      </c>
      <c r="B233" s="7"/>
      <c r="C233" s="8" t="s">
        <v>1005</v>
      </c>
      <c r="D233" s="8" t="s">
        <v>215</v>
      </c>
      <c r="E233" s="8" t="s">
        <v>1006</v>
      </c>
      <c r="F233" s="8" t="s">
        <v>1225</v>
      </c>
      <c r="G233" s="23" t="s">
        <v>17</v>
      </c>
      <c r="J233" s="9"/>
    </row>
    <row r="234" spans="1:10" ht="28.8" x14ac:dyDescent="0.25">
      <c r="A234" s="6" t="str">
        <f t="shared" ca="1" si="7"/>
        <v>Wir können unsere Margen steigern indem wir unsere Kunden direkt bedienen</v>
      </c>
      <c r="B234" s="7"/>
      <c r="C234" s="8" t="s">
        <v>216</v>
      </c>
      <c r="D234" s="8" t="s">
        <v>217</v>
      </c>
      <c r="E234" s="8" t="s">
        <v>1007</v>
      </c>
      <c r="F234" s="8" t="s">
        <v>1226</v>
      </c>
      <c r="G234" s="23" t="s">
        <v>17</v>
      </c>
      <c r="J234" s="9"/>
    </row>
    <row r="235" spans="1:10" ht="28.8" x14ac:dyDescent="0.25">
      <c r="A235" s="6" t="str">
        <f t="shared" ca="1" si="7"/>
        <v>Wir können die Vertriebskanälen besser mit den Kundensegmenten abstimmen</v>
      </c>
      <c r="B235" s="7"/>
      <c r="C235" s="8" t="s">
        <v>1008</v>
      </c>
      <c r="D235" s="8" t="s">
        <v>218</v>
      </c>
      <c r="E235" s="8" t="s">
        <v>1009</v>
      </c>
      <c r="F235" s="8" t="s">
        <v>1227</v>
      </c>
      <c r="G235" s="23" t="s">
        <v>17</v>
      </c>
      <c r="J235" s="9"/>
    </row>
    <row r="236" spans="1:10" x14ac:dyDescent="0.25">
      <c r="A236" s="6" t="str">
        <f t="shared" ca="1" si="7"/>
        <v>Unsere Konkurrenten bedrohen unsere Vertriebskanäle</v>
      </c>
      <c r="B236" s="7"/>
      <c r="C236" s="8" t="s">
        <v>219</v>
      </c>
      <c r="D236" s="8" t="s">
        <v>220</v>
      </c>
      <c r="E236" s="8" t="s">
        <v>1010</v>
      </c>
      <c r="F236" s="8" t="s">
        <v>1228</v>
      </c>
      <c r="G236" s="23" t="s">
        <v>17</v>
      </c>
      <c r="J236" s="9"/>
    </row>
    <row r="237" spans="1:10" ht="28.8" x14ac:dyDescent="0.25">
      <c r="A237" s="6" t="str">
        <f t="shared" ca="1" si="7"/>
        <v>Unsere Vertriebswege laufen Gefahr irrelevant für unsere Kunden zu werden.</v>
      </c>
      <c r="B237" s="7"/>
      <c r="C237" s="8" t="s">
        <v>1011</v>
      </c>
      <c r="D237" s="8" t="s">
        <v>221</v>
      </c>
      <c r="E237" s="8" t="s">
        <v>1012</v>
      </c>
      <c r="F237" s="8" t="s">
        <v>1229</v>
      </c>
      <c r="G237" s="23" t="s">
        <v>17</v>
      </c>
      <c r="J237" s="9"/>
    </row>
    <row r="238" spans="1:10" x14ac:dyDescent="0.25">
      <c r="A238" s="6">
        <f t="shared" ca="1" si="7"/>
        <v>0</v>
      </c>
      <c r="B238" s="7"/>
      <c r="C238" s="8"/>
      <c r="D238" s="8"/>
      <c r="E238" s="8"/>
      <c r="F238" s="8" t="s">
        <v>844</v>
      </c>
      <c r="G238" s="23" t="s">
        <v>17</v>
      </c>
      <c r="J238" s="9"/>
    </row>
    <row r="239" spans="1:10" x14ac:dyDescent="0.25">
      <c r="A239" s="6" t="str">
        <f t="shared" ca="1" si="7"/>
        <v>Die Kundenbetreuung kann verbessert werden</v>
      </c>
      <c r="B239" s="7"/>
      <c r="C239" s="8" t="s">
        <v>222</v>
      </c>
      <c r="D239" s="8" t="s">
        <v>223</v>
      </c>
      <c r="E239" s="8" t="s">
        <v>1013</v>
      </c>
      <c r="F239" s="8" t="s">
        <v>1230</v>
      </c>
      <c r="G239" s="23" t="s">
        <v>17</v>
      </c>
      <c r="J239" s="9"/>
    </row>
    <row r="240" spans="1:10" x14ac:dyDescent="0.25">
      <c r="A240" s="6" t="str">
        <f t="shared" ca="1" si="7"/>
        <v>Wir können die Beziehungen zu unseren Kunden stärken</v>
      </c>
      <c r="B240" s="7"/>
      <c r="C240" s="8" t="s">
        <v>224</v>
      </c>
      <c r="D240" s="8" t="s">
        <v>225</v>
      </c>
      <c r="E240" s="8" t="s">
        <v>1014</v>
      </c>
      <c r="F240" s="8" t="s">
        <v>1231</v>
      </c>
      <c r="G240" s="23" t="s">
        <v>17</v>
      </c>
      <c r="J240" s="9"/>
    </row>
    <row r="241" spans="1:10" x14ac:dyDescent="0.25">
      <c r="A241" s="6" t="str">
        <f t="shared" ca="1" si="7"/>
        <v>Wir können die Kundenpersonifizierung verbessern</v>
      </c>
      <c r="B241" s="7"/>
      <c r="C241" s="8" t="s">
        <v>1015</v>
      </c>
      <c r="D241" s="8" t="s">
        <v>226</v>
      </c>
      <c r="E241" s="8" t="s">
        <v>1016</v>
      </c>
      <c r="F241" s="8" t="s">
        <v>1232</v>
      </c>
      <c r="G241" s="23" t="s">
        <v>17</v>
      </c>
      <c r="J241" s="9"/>
    </row>
    <row r="242" spans="1:10" ht="28.8" x14ac:dyDescent="0.25">
      <c r="A242" s="6" t="str">
        <f t="shared" ca="1" si="7"/>
        <v>Wir können für den Kunden die Kosten beim Wechsel zur Konkurrenz erhöhen (switching costs)</v>
      </c>
      <c r="B242" s="7"/>
      <c r="C242" s="8" t="s">
        <v>1017</v>
      </c>
      <c r="D242" s="8" t="s">
        <v>1018</v>
      </c>
      <c r="E242" s="8" t="s">
        <v>1019</v>
      </c>
      <c r="F242" s="8" t="s">
        <v>1233</v>
      </c>
      <c r="G242" s="23" t="s">
        <v>17</v>
      </c>
      <c r="J242" s="9"/>
    </row>
    <row r="243" spans="1:10" ht="28.8" x14ac:dyDescent="0.25">
      <c r="A243" s="6" t="str">
        <f t="shared" ca="1" si="7"/>
        <v>Wir haben die unrentablen Kunden identifiziert und "beseitigt"</v>
      </c>
      <c r="B243" s="7"/>
      <c r="C243" s="8" t="s">
        <v>227</v>
      </c>
      <c r="D243" s="8" t="s">
        <v>228</v>
      </c>
      <c r="E243" s="8" t="s">
        <v>1020</v>
      </c>
      <c r="F243" s="8" t="s">
        <v>1234</v>
      </c>
      <c r="G243" s="23" t="s">
        <v>17</v>
      </c>
      <c r="J243" s="9"/>
    </row>
    <row r="244" spans="1:10" x14ac:dyDescent="0.25">
      <c r="A244" s="6" t="str">
        <f t="shared" ca="1" si="7"/>
        <v>Wir haben gewisse Beziehungen automatisiert</v>
      </c>
      <c r="B244" s="7"/>
      <c r="C244" s="8" t="s">
        <v>229</v>
      </c>
      <c r="D244" s="8" t="s">
        <v>230</v>
      </c>
      <c r="E244" s="8" t="s">
        <v>1021</v>
      </c>
      <c r="F244" s="8" t="s">
        <v>1235</v>
      </c>
      <c r="G244" s="23" t="s">
        <v>17</v>
      </c>
      <c r="J244" s="9"/>
    </row>
    <row r="245" spans="1:10" ht="28.8" x14ac:dyDescent="0.25">
      <c r="A245" s="6" t="str">
        <f t="shared" ref="A245:A276" ca="1" si="8">OFFSET($C245,0,$Z$5-1)</f>
        <v>Es besteht das Risiko, dass sich die Beziehungen zu unseren Kunden verschlechtert</v>
      </c>
      <c r="B245" s="7"/>
      <c r="C245" s="8" t="s">
        <v>231</v>
      </c>
      <c r="D245" s="8" t="s">
        <v>232</v>
      </c>
      <c r="E245" s="8" t="s">
        <v>1022</v>
      </c>
      <c r="F245" s="8" t="s">
        <v>1236</v>
      </c>
      <c r="G245" s="23" t="s">
        <v>17</v>
      </c>
      <c r="J245" s="9"/>
    </row>
    <row r="246" spans="1:10" x14ac:dyDescent="0.25">
      <c r="A246" s="6">
        <f t="shared" ca="1" si="8"/>
        <v>0</v>
      </c>
      <c r="B246" s="7"/>
      <c r="C246" s="8"/>
      <c r="D246" s="8"/>
      <c r="E246" s="8"/>
      <c r="F246" s="8" t="s">
        <v>844</v>
      </c>
      <c r="G246" s="23" t="s">
        <v>17</v>
      </c>
      <c r="J246" s="9"/>
    </row>
    <row r="247" spans="1:10" ht="28.8" x14ac:dyDescent="0.25">
      <c r="A247" s="6" t="str">
        <f t="shared" ca="1" si="8"/>
        <v>Wir können billigere Ressourcen einsetzen um das gleiche Resultat zu erzielen</v>
      </c>
      <c r="B247" s="7"/>
      <c r="C247" s="8" t="s">
        <v>233</v>
      </c>
      <c r="D247" s="8" t="s">
        <v>234</v>
      </c>
      <c r="E247" s="8" t="s">
        <v>1023</v>
      </c>
      <c r="F247" s="8" t="s">
        <v>1237</v>
      </c>
      <c r="G247" s="23" t="s">
        <v>17</v>
      </c>
      <c r="J247" s="9"/>
    </row>
    <row r="248" spans="1:10" ht="28.8" x14ac:dyDescent="0.25">
      <c r="A248" s="6" t="str">
        <f t="shared" ca="1" si="8"/>
        <v>Wir besitzen Kernressourcen, die von unseren Partnern bezogen werden könnten</v>
      </c>
      <c r="B248" s="7"/>
      <c r="C248" s="8" t="s">
        <v>1024</v>
      </c>
      <c r="D248" s="8" t="s">
        <v>1025</v>
      </c>
      <c r="E248" s="8" t="s">
        <v>1026</v>
      </c>
      <c r="F248" s="8" t="s">
        <v>1238</v>
      </c>
      <c r="G248" s="23" t="s">
        <v>17</v>
      </c>
      <c r="J248" s="9"/>
    </row>
    <row r="249" spans="1:10" ht="28.8" x14ac:dyDescent="0.25">
      <c r="A249" s="6" t="str">
        <f t="shared" ca="1" si="8"/>
        <v>Wir besitzen Kernressourcen, die zu wenig genutzt werden</v>
      </c>
      <c r="B249" s="7"/>
      <c r="C249" s="8" t="s">
        <v>235</v>
      </c>
      <c r="D249" s="8" t="s">
        <v>236</v>
      </c>
      <c r="E249" s="8" t="s">
        <v>1027</v>
      </c>
      <c r="F249" s="8" t="s">
        <v>1239</v>
      </c>
      <c r="G249" s="23" t="s">
        <v>17</v>
      </c>
      <c r="J249" s="9"/>
    </row>
    <row r="250" spans="1:10" ht="28.8" x14ac:dyDescent="0.25">
      <c r="A250" s="6" t="str">
        <f t="shared" ca="1" si="8"/>
        <v>Wir besitzen Patente oder andere ungenutzte Erfindungen, die für andere von Wert sein könnten</v>
      </c>
      <c r="B250" s="7"/>
      <c r="C250" s="8" t="s">
        <v>237</v>
      </c>
      <c r="D250" s="8" t="s">
        <v>238</v>
      </c>
      <c r="E250" s="8" t="s">
        <v>1028</v>
      </c>
      <c r="F250" s="8" t="s">
        <v>1240</v>
      </c>
      <c r="G250" s="23" t="s">
        <v>17</v>
      </c>
      <c r="J250" s="9"/>
    </row>
    <row r="251" spans="1:10" ht="28.8" x14ac:dyDescent="0.25">
      <c r="A251" s="6" t="str">
        <f t="shared" ca="1" si="8"/>
        <v>Es besteht das Risiko, dass einige Ressourcen knapp werden könnten</v>
      </c>
      <c r="B251" s="7"/>
      <c r="C251" s="8" t="s">
        <v>239</v>
      </c>
      <c r="D251" s="8" t="s">
        <v>240</v>
      </c>
      <c r="E251" s="8" t="s">
        <v>1029</v>
      </c>
      <c r="F251" s="8" t="s">
        <v>1241</v>
      </c>
      <c r="G251" s="23" t="s">
        <v>17</v>
      </c>
      <c r="J251" s="9"/>
    </row>
    <row r="252" spans="1:10" x14ac:dyDescent="0.25">
      <c r="A252" s="6" t="str">
        <f t="shared" ca="1" si="8"/>
        <v>Die Qualität unserer Ressourcen sind in Gefahr</v>
      </c>
      <c r="B252" s="7"/>
      <c r="C252" s="8" t="s">
        <v>241</v>
      </c>
      <c r="D252" s="8" t="s">
        <v>242</v>
      </c>
      <c r="E252" s="8" t="s">
        <v>1030</v>
      </c>
      <c r="F252" s="8" t="s">
        <v>1242</v>
      </c>
      <c r="G252" s="23" t="s">
        <v>17</v>
      </c>
      <c r="J252" s="9"/>
    </row>
    <row r="253" spans="1:10" x14ac:dyDescent="0.25">
      <c r="A253" s="6">
        <f t="shared" ca="1" si="8"/>
        <v>0</v>
      </c>
      <c r="B253" s="7"/>
      <c r="C253" s="8"/>
      <c r="D253" s="8"/>
      <c r="E253" s="8"/>
      <c r="F253" s="8" t="s">
        <v>844</v>
      </c>
      <c r="G253" s="23" t="s">
        <v>17</v>
      </c>
      <c r="J253" s="9"/>
    </row>
    <row r="254" spans="1:10" x14ac:dyDescent="0.25">
      <c r="A254" s="6" t="str">
        <f t="shared" ca="1" si="8"/>
        <v>Wir können einige Kernaktivitäten standardisieren</v>
      </c>
      <c r="B254" s="7"/>
      <c r="C254" s="8" t="s">
        <v>243</v>
      </c>
      <c r="D254" s="8" t="s">
        <v>244</v>
      </c>
      <c r="E254" s="8" t="s">
        <v>1031</v>
      </c>
      <c r="F254" s="8" t="s">
        <v>1243</v>
      </c>
      <c r="G254" s="23" t="s">
        <v>17</v>
      </c>
      <c r="J254" s="9"/>
    </row>
    <row r="255" spans="1:10" ht="28.8" x14ac:dyDescent="0.25">
      <c r="A255" s="6" t="str">
        <f t="shared" ca="1" si="8"/>
        <v>Wir können allgemein unsere Leistung verbessern</v>
      </c>
      <c r="B255" s="7"/>
      <c r="C255" s="8" t="s">
        <v>245</v>
      </c>
      <c r="D255" s="8" t="s">
        <v>246</v>
      </c>
      <c r="E255" s="8" t="s">
        <v>1032</v>
      </c>
      <c r="F255" s="8" t="s">
        <v>1244</v>
      </c>
      <c r="G255" s="23" t="s">
        <v>17</v>
      </c>
      <c r="J255" s="9"/>
    </row>
    <row r="256" spans="1:10" ht="28.8" x14ac:dyDescent="0.25">
      <c r="A256" s="6" t="str">
        <f t="shared" ca="1" si="8"/>
        <v>Eine Informatikunterstützung könnte unsere Leistung steigern</v>
      </c>
      <c r="B256" s="7"/>
      <c r="C256" s="8" t="s">
        <v>247</v>
      </c>
      <c r="D256" s="8" t="s">
        <v>248</v>
      </c>
      <c r="E256" s="8" t="s">
        <v>1033</v>
      </c>
      <c r="F256" s="8" t="s">
        <v>1245</v>
      </c>
      <c r="G256" s="23" t="s">
        <v>17</v>
      </c>
      <c r="J256" s="9"/>
    </row>
    <row r="257" spans="1:10" x14ac:dyDescent="0.25">
      <c r="A257" s="6" t="str">
        <f t="shared" ca="1" si="8"/>
        <v>Kernaktivitäten könnten gestört werden</v>
      </c>
      <c r="B257" s="7"/>
      <c r="C257" s="8" t="s">
        <v>249</v>
      </c>
      <c r="D257" s="8" t="s">
        <v>1034</v>
      </c>
      <c r="E257" s="8" t="s">
        <v>1035</v>
      </c>
      <c r="F257" s="8" t="s">
        <v>1246</v>
      </c>
      <c r="G257" s="23" t="s">
        <v>17</v>
      </c>
      <c r="J257" s="9"/>
    </row>
    <row r="258" spans="1:10" x14ac:dyDescent="0.25">
      <c r="A258" s="6" t="str">
        <f t="shared" ca="1" si="8"/>
        <v>Die Qualität unserer Aktivitäten ist in Gefahr</v>
      </c>
      <c r="B258" s="7"/>
      <c r="C258" s="8" t="s">
        <v>250</v>
      </c>
      <c r="D258" s="8" t="s">
        <v>251</v>
      </c>
      <c r="E258" s="8" t="s">
        <v>1036</v>
      </c>
      <c r="F258" s="8" t="s">
        <v>1247</v>
      </c>
      <c r="G258" s="23" t="s">
        <v>17</v>
      </c>
      <c r="J258" s="9"/>
    </row>
    <row r="259" spans="1:10" x14ac:dyDescent="0.25">
      <c r="A259" s="6">
        <f t="shared" ca="1" si="8"/>
        <v>0</v>
      </c>
      <c r="B259" s="7"/>
      <c r="C259" s="8"/>
      <c r="D259" s="8"/>
      <c r="E259" s="8"/>
      <c r="F259" s="8" t="s">
        <v>844</v>
      </c>
      <c r="G259" s="23" t="s">
        <v>17</v>
      </c>
      <c r="J259" s="9"/>
    </row>
    <row r="260" spans="1:10" ht="28.8" x14ac:dyDescent="0.25">
      <c r="A260" s="6" t="str">
        <f t="shared" ca="1" si="8"/>
        <v>Es bestehen Möglichkeiten zum Outsourcing</v>
      </c>
      <c r="B260" s="7"/>
      <c r="C260" s="8" t="s">
        <v>1037</v>
      </c>
      <c r="D260" s="8" t="s">
        <v>1038</v>
      </c>
      <c r="E260" s="8" t="s">
        <v>1039</v>
      </c>
      <c r="F260" s="8" t="s">
        <v>1248</v>
      </c>
      <c r="G260" s="23" t="s">
        <v>17</v>
      </c>
      <c r="J260" s="9"/>
    </row>
    <row r="261" spans="1:10" ht="43.2" x14ac:dyDescent="0.25">
      <c r="A261" s="6" t="str">
        <f t="shared" ca="1" si="8"/>
        <v>Eine verstärkte Zusammenarbeit mit unseren Partnern würde helfen, uns auf unser Kerngeschäft zu konzentrieren</v>
      </c>
      <c r="B261" s="7"/>
      <c r="C261" s="8" t="s">
        <v>252</v>
      </c>
      <c r="D261" s="8" t="s">
        <v>1040</v>
      </c>
      <c r="E261" s="8" t="s">
        <v>1041</v>
      </c>
      <c r="F261" s="8" t="s">
        <v>1249</v>
      </c>
      <c r="G261" s="23" t="s">
        <v>17</v>
      </c>
      <c r="J261" s="9"/>
    </row>
    <row r="262" spans="1:10" ht="28.8" x14ac:dyDescent="0.25">
      <c r="A262" s="6" t="str">
        <f t="shared" ca="1" si="8"/>
        <v>Es bestehen Möglichkeiten Gegengeschäfte mit unseren Partnern zu tätigen</v>
      </c>
      <c r="B262" s="7"/>
      <c r="C262" s="8" t="s">
        <v>253</v>
      </c>
      <c r="D262" s="8" t="s">
        <v>254</v>
      </c>
      <c r="E262" s="8" t="s">
        <v>1042</v>
      </c>
      <c r="F262" s="8" t="s">
        <v>1250</v>
      </c>
      <c r="G262" s="23" t="s">
        <v>17</v>
      </c>
      <c r="J262" s="9"/>
    </row>
    <row r="263" spans="1:10" ht="28.8" x14ac:dyDescent="0.25">
      <c r="A263" s="6" t="str">
        <f t="shared" ca="1" si="8"/>
        <v>Die Vertriebskanäle unserer Partner könnten uns helfen, zusätzliche Kunden zu erreichen</v>
      </c>
      <c r="B263" s="7"/>
      <c r="C263" s="8" t="s">
        <v>255</v>
      </c>
      <c r="D263" s="8" t="s">
        <v>256</v>
      </c>
      <c r="E263" s="8" t="s">
        <v>1043</v>
      </c>
      <c r="F263" s="8" t="s">
        <v>1251</v>
      </c>
      <c r="G263" s="23" t="s">
        <v>17</v>
      </c>
      <c r="J263" s="9"/>
    </row>
    <row r="264" spans="1:10" ht="28.8" x14ac:dyDescent="0.25">
      <c r="A264" s="6" t="str">
        <f t="shared" ca="1" si="8"/>
        <v>Unsere Partner könnten unser Werteangebot (value proposition) vervollständigen</v>
      </c>
      <c r="B264" s="7"/>
      <c r="C264" s="8" t="s">
        <v>1044</v>
      </c>
      <c r="D264" s="8" t="s">
        <v>257</v>
      </c>
      <c r="E264" s="8" t="s">
        <v>1045</v>
      </c>
      <c r="F264" s="8" t="s">
        <v>1252</v>
      </c>
      <c r="G264" s="23" t="s">
        <v>17</v>
      </c>
      <c r="J264" s="9"/>
    </row>
    <row r="265" spans="1:10" x14ac:dyDescent="0.25">
      <c r="A265" s="6" t="str">
        <f t="shared" ca="1" si="8"/>
        <v>Wir riskieren, Partner zu verlieren</v>
      </c>
      <c r="B265" s="7"/>
      <c r="C265" s="8" t="s">
        <v>258</v>
      </c>
      <c r="D265" s="8" t="s">
        <v>259</v>
      </c>
      <c r="E265" s="8" t="s">
        <v>1046</v>
      </c>
      <c r="F265" s="8" t="s">
        <v>1253</v>
      </c>
      <c r="G265" s="23" t="s">
        <v>17</v>
      </c>
      <c r="J265" s="9"/>
    </row>
    <row r="266" spans="1:10" ht="28.8" x14ac:dyDescent="0.25">
      <c r="A266" s="6" t="str">
        <f t="shared" ca="1" si="8"/>
        <v>Unser Partner könnten mit den Konkurrenten zusammenarbeiten</v>
      </c>
      <c r="B266" s="7"/>
      <c r="C266" s="8" t="s">
        <v>260</v>
      </c>
      <c r="D266" s="8" t="s">
        <v>261</v>
      </c>
      <c r="E266" s="8" t="s">
        <v>1047</v>
      </c>
      <c r="F266" s="8" t="s">
        <v>1254</v>
      </c>
      <c r="G266" s="23" t="s">
        <v>17</v>
      </c>
      <c r="J266" s="9"/>
    </row>
    <row r="267" spans="1:10" x14ac:dyDescent="0.25">
      <c r="A267" s="25" t="str">
        <f t="shared" ca="1" si="8"/>
        <v>Wir sind von einigen Partnern zu stark abhängig</v>
      </c>
      <c r="B267" s="7"/>
      <c r="C267" s="26" t="s">
        <v>262</v>
      </c>
      <c r="D267" s="26" t="s">
        <v>263</v>
      </c>
      <c r="E267" s="26" t="s">
        <v>1048</v>
      </c>
      <c r="F267" s="26" t="s">
        <v>1255</v>
      </c>
      <c r="G267" s="27" t="s">
        <v>17</v>
      </c>
      <c r="J267" s="9"/>
    </row>
    <row r="268" spans="1:10" x14ac:dyDescent="0.25">
      <c r="A268" s="16" t="str">
        <f t="shared" ca="1" si="8"/>
        <v>S T R A T E G I S C H E   I N D I K A T O R E N</v>
      </c>
      <c r="B268" s="31"/>
      <c r="C268" s="16" t="s">
        <v>298</v>
      </c>
      <c r="D268" s="16" t="s">
        <v>299</v>
      </c>
      <c r="E268" s="16" t="s">
        <v>1332</v>
      </c>
      <c r="F268" s="16"/>
      <c r="G268" s="18" t="s">
        <v>17</v>
      </c>
      <c r="J268" s="9"/>
    </row>
    <row r="269" spans="1:10" x14ac:dyDescent="0.25">
      <c r="A269" s="20" t="str">
        <f t="shared" ca="1" si="8"/>
        <v>Berechnung</v>
      </c>
      <c r="B269" s="7"/>
      <c r="C269" s="28" t="s">
        <v>300</v>
      </c>
      <c r="D269" s="28" t="s">
        <v>301</v>
      </c>
      <c r="E269" s="28" t="s">
        <v>1328</v>
      </c>
      <c r="F269" s="28"/>
      <c r="G269" s="22" t="s">
        <v>17</v>
      </c>
      <c r="J269" s="9"/>
    </row>
    <row r="270" spans="1:10" x14ac:dyDescent="0.25">
      <c r="A270" s="6" t="str">
        <f t="shared" ca="1" si="8"/>
        <v>Beschreibung/Bemerkungen</v>
      </c>
      <c r="B270" s="7"/>
      <c r="C270" s="8" t="s">
        <v>302</v>
      </c>
      <c r="D270" s="8" t="s">
        <v>303</v>
      </c>
      <c r="E270" s="8" t="s">
        <v>1329</v>
      </c>
      <c r="F270" s="8"/>
      <c r="G270" s="23" t="s">
        <v>17</v>
      </c>
      <c r="J270" s="9"/>
    </row>
    <row r="271" spans="1:10" x14ac:dyDescent="0.25">
      <c r="A271" s="6" t="str">
        <f t="shared" ca="1" si="8"/>
        <v>Quelle</v>
      </c>
      <c r="B271" s="7"/>
      <c r="C271" s="8" t="s">
        <v>49</v>
      </c>
      <c r="D271" s="8" t="s">
        <v>50</v>
      </c>
      <c r="E271" s="8" t="s">
        <v>50</v>
      </c>
      <c r="F271" s="8"/>
      <c r="G271" s="23" t="s">
        <v>17</v>
      </c>
      <c r="J271" s="9"/>
    </row>
    <row r="272" spans="1:10" x14ac:dyDescent="0.25">
      <c r="A272" s="6" t="str">
        <f t="shared" ca="1" si="8"/>
        <v>Erhebungszeitpunkt &amp; Branchenvergleich</v>
      </c>
      <c r="B272" s="7"/>
      <c r="C272" s="32" t="s">
        <v>304</v>
      </c>
      <c r="D272" s="32" t="s">
        <v>305</v>
      </c>
      <c r="E272" s="32" t="s">
        <v>1330</v>
      </c>
      <c r="F272" s="32"/>
      <c r="G272" s="33" t="s">
        <v>17</v>
      </c>
      <c r="J272" s="9"/>
    </row>
    <row r="273" spans="1:10" x14ac:dyDescent="0.25">
      <c r="A273" s="25" t="str">
        <f t="shared" ca="1" si="8"/>
        <v>I N D I K A T O R E N   Z I E L E</v>
      </c>
      <c r="B273" s="7"/>
      <c r="C273" s="26" t="s">
        <v>306</v>
      </c>
      <c r="D273" s="26" t="s">
        <v>307</v>
      </c>
      <c r="E273" s="26" t="s">
        <v>1331</v>
      </c>
      <c r="F273" s="26"/>
      <c r="G273" s="27" t="s">
        <v>17</v>
      </c>
      <c r="J273" s="9"/>
    </row>
    <row r="274" spans="1:10" x14ac:dyDescent="0.25">
      <c r="A274" s="16" t="str">
        <f t="shared" ca="1" si="8"/>
        <v>K O M M U N I K A T I O N</v>
      </c>
      <c r="B274" s="31"/>
      <c r="C274" s="16" t="s">
        <v>308</v>
      </c>
      <c r="D274" s="16" t="s">
        <v>309</v>
      </c>
      <c r="E274" s="16" t="s">
        <v>309</v>
      </c>
      <c r="F274" s="16"/>
      <c r="G274" s="18" t="s">
        <v>17</v>
      </c>
      <c r="J274" s="9"/>
    </row>
    <row r="275" spans="1:10" x14ac:dyDescent="0.25">
      <c r="A275" s="20" t="str">
        <f t="shared" ca="1" si="8"/>
        <v>Intern</v>
      </c>
      <c r="B275" s="7"/>
      <c r="C275" s="28" t="s">
        <v>601</v>
      </c>
      <c r="D275" s="28" t="s">
        <v>599</v>
      </c>
      <c r="E275" s="28" t="s">
        <v>1256</v>
      </c>
      <c r="F275" s="28"/>
      <c r="G275" s="22" t="s">
        <v>17</v>
      </c>
      <c r="J275" s="9"/>
    </row>
    <row r="276" spans="1:10" x14ac:dyDescent="0.25">
      <c r="A276" s="6" t="str">
        <f t="shared" ca="1" si="8"/>
        <v>Extern</v>
      </c>
      <c r="B276" s="7"/>
      <c r="C276" s="8" t="s">
        <v>602</v>
      </c>
      <c r="D276" s="8" t="s">
        <v>600</v>
      </c>
      <c r="E276" s="8" t="s">
        <v>1257</v>
      </c>
      <c r="F276" s="8"/>
      <c r="G276" s="23" t="s">
        <v>17</v>
      </c>
      <c r="J276" s="9"/>
    </row>
    <row r="277" spans="1:10" x14ac:dyDescent="0.25">
      <c r="A277" s="6" t="str">
        <f t="shared" ref="A277:A296" ca="1" si="9">OFFSET($C277,0,$Z$5-1)</f>
        <v>Internet</v>
      </c>
      <c r="B277" s="7"/>
      <c r="C277" s="8" t="s">
        <v>310</v>
      </c>
      <c r="D277" s="8" t="s">
        <v>310</v>
      </c>
      <c r="E277" s="8" t="s">
        <v>310</v>
      </c>
      <c r="F277" s="8"/>
      <c r="G277" s="23" t="s">
        <v>17</v>
      </c>
      <c r="J277" s="9"/>
    </row>
    <row r="278" spans="1:10" x14ac:dyDescent="0.25">
      <c r="A278" s="6" t="str">
        <f t="shared" ca="1" si="9"/>
        <v>Social Medias</v>
      </c>
      <c r="B278" s="7"/>
      <c r="C278" s="8" t="s">
        <v>311</v>
      </c>
      <c r="D278" s="8" t="s">
        <v>311</v>
      </c>
      <c r="E278" s="8" t="s">
        <v>1258</v>
      </c>
      <c r="F278" s="8"/>
      <c r="G278" s="23" t="s">
        <v>17</v>
      </c>
      <c r="J278" s="9"/>
    </row>
    <row r="279" spans="1:10" x14ac:dyDescent="0.25">
      <c r="A279" s="6" t="str">
        <f t="shared" ca="1" si="9"/>
        <v>Public Relations</v>
      </c>
      <c r="B279" s="7"/>
      <c r="C279" s="8" t="s">
        <v>312</v>
      </c>
      <c r="D279" s="8" t="s">
        <v>313</v>
      </c>
      <c r="E279" s="8" t="s">
        <v>1259</v>
      </c>
      <c r="F279" s="8"/>
      <c r="G279" s="23" t="s">
        <v>17</v>
      </c>
      <c r="J279" s="9"/>
    </row>
    <row r="280" spans="1:10" x14ac:dyDescent="0.25">
      <c r="A280" s="6" t="str">
        <f t="shared" ca="1" si="9"/>
        <v>Diverses</v>
      </c>
      <c r="B280" s="7"/>
      <c r="C280" s="8" t="s">
        <v>314</v>
      </c>
      <c r="D280" s="8" t="s">
        <v>315</v>
      </c>
      <c r="E280" s="8" t="s">
        <v>1260</v>
      </c>
      <c r="F280" s="8"/>
      <c r="G280" s="23" t="s">
        <v>17</v>
      </c>
      <c r="J280" s="9"/>
    </row>
    <row r="281" spans="1:10" x14ac:dyDescent="0.25">
      <c r="A281" s="6" t="str">
        <f t="shared" ca="1" si="9"/>
        <v>Impact</v>
      </c>
      <c r="B281" s="7"/>
      <c r="C281" s="8" t="s">
        <v>37</v>
      </c>
      <c r="D281" s="8" t="s">
        <v>37</v>
      </c>
      <c r="E281" s="8" t="s">
        <v>37</v>
      </c>
      <c r="F281" s="8"/>
      <c r="G281" s="23" t="s">
        <v>17</v>
      </c>
      <c r="J281" s="9"/>
    </row>
    <row r="282" spans="1:10" x14ac:dyDescent="0.25">
      <c r="A282" s="6" t="str">
        <f t="shared" ca="1" si="9"/>
        <v>Nr.</v>
      </c>
      <c r="B282" s="7"/>
      <c r="C282" s="7" t="s">
        <v>28</v>
      </c>
      <c r="D282" s="7" t="s">
        <v>29</v>
      </c>
      <c r="E282" s="7" t="s">
        <v>29</v>
      </c>
      <c r="F282" s="7"/>
      <c r="G282" s="23" t="s">
        <v>17</v>
      </c>
      <c r="J282" s="9"/>
    </row>
    <row r="283" spans="1:10" x14ac:dyDescent="0.25">
      <c r="A283" s="6" t="str">
        <f t="shared" ca="1" si="9"/>
        <v>Bezeichnung</v>
      </c>
      <c r="B283" s="7"/>
      <c r="C283" s="7" t="s">
        <v>696</v>
      </c>
      <c r="D283" s="7" t="s">
        <v>697</v>
      </c>
      <c r="E283" s="7" t="s">
        <v>1261</v>
      </c>
      <c r="F283" s="7"/>
      <c r="G283" s="23" t="s">
        <v>17</v>
      </c>
      <c r="J283" s="9"/>
    </row>
    <row r="284" spans="1:10" x14ac:dyDescent="0.25">
      <c r="A284" s="6" t="str">
        <f t="shared" ca="1" si="9"/>
        <v>in %</v>
      </c>
      <c r="B284" s="7"/>
      <c r="C284" s="8" t="s">
        <v>99</v>
      </c>
      <c r="D284" s="8" t="s">
        <v>100</v>
      </c>
      <c r="E284" s="8" t="s">
        <v>1262</v>
      </c>
      <c r="F284" s="8"/>
      <c r="G284" s="23" t="s">
        <v>17</v>
      </c>
      <c r="J284" s="9"/>
    </row>
    <row r="285" spans="1:10" x14ac:dyDescent="0.25">
      <c r="A285" s="6" t="str">
        <f t="shared" ca="1" si="9"/>
        <v>Hauptstärken</v>
      </c>
      <c r="B285" s="7"/>
      <c r="C285" s="8" t="s">
        <v>698</v>
      </c>
      <c r="D285" s="8" t="s">
        <v>699</v>
      </c>
      <c r="E285" s="8" t="s">
        <v>1263</v>
      </c>
      <c r="F285" s="8"/>
      <c r="G285" s="23" t="s">
        <v>17</v>
      </c>
      <c r="J285" s="9"/>
    </row>
    <row r="286" spans="1:10" x14ac:dyDescent="0.25">
      <c r="A286" s="6" t="str">
        <f t="shared" ca="1" si="9"/>
        <v>Hauptschwächen</v>
      </c>
      <c r="B286" s="7"/>
      <c r="C286" s="8" t="s">
        <v>700</v>
      </c>
      <c r="D286" s="8" t="s">
        <v>701</v>
      </c>
      <c r="E286" s="8" t="s">
        <v>1264</v>
      </c>
      <c r="F286" s="8"/>
      <c r="G286" s="23" t="s">
        <v>17</v>
      </c>
      <c r="J286" s="9"/>
    </row>
    <row r="287" spans="1:10" x14ac:dyDescent="0.25">
      <c r="A287" s="6" t="str">
        <f t="shared" ca="1" si="9"/>
        <v>Impact</v>
      </c>
      <c r="B287" s="7"/>
      <c r="C287" s="8" t="s">
        <v>37</v>
      </c>
      <c r="D287" s="8" t="s">
        <v>37</v>
      </c>
      <c r="E287" s="8" t="s">
        <v>37</v>
      </c>
      <c r="F287" s="8"/>
      <c r="G287" s="23" t="s">
        <v>17</v>
      </c>
      <c r="J287" s="9"/>
    </row>
    <row r="288" spans="1:10" x14ac:dyDescent="0.25">
      <c r="A288" s="6" t="str">
        <f t="shared" ca="1" si="9"/>
        <v>Bemerkungen</v>
      </c>
      <c r="B288" s="7"/>
      <c r="C288" s="8" t="s">
        <v>43</v>
      </c>
      <c r="D288" s="8" t="s">
        <v>44</v>
      </c>
      <c r="E288" s="8" t="s">
        <v>1084</v>
      </c>
      <c r="F288" s="8"/>
      <c r="G288" s="23" t="s">
        <v>17</v>
      </c>
      <c r="J288" s="9"/>
    </row>
    <row r="289" spans="1:10" x14ac:dyDescent="0.25">
      <c r="A289" s="25" t="str">
        <f t="shared" ca="1" si="9"/>
        <v>Status</v>
      </c>
      <c r="B289" s="7"/>
      <c r="C289" s="26" t="s">
        <v>32</v>
      </c>
      <c r="D289" s="26" t="s">
        <v>33</v>
      </c>
      <c r="E289" s="26" t="s">
        <v>32</v>
      </c>
      <c r="F289" s="26"/>
      <c r="G289" s="27" t="s">
        <v>17</v>
      </c>
      <c r="J289" s="9"/>
    </row>
    <row r="290" spans="1:10" x14ac:dyDescent="0.25">
      <c r="A290" s="16" t="str">
        <f t="shared" ca="1" si="9"/>
        <v>I D E E   V E R G L E I C H S  - M A T R I X</v>
      </c>
      <c r="B290" s="31"/>
      <c r="C290" s="16" t="s">
        <v>513</v>
      </c>
      <c r="D290" s="16" t="s">
        <v>514</v>
      </c>
      <c r="E290" s="16" t="s">
        <v>1265</v>
      </c>
      <c r="F290" s="16" t="s">
        <v>1265</v>
      </c>
      <c r="G290" s="18" t="s">
        <v>17</v>
      </c>
      <c r="J290" s="9"/>
    </row>
    <row r="291" spans="1:10" x14ac:dyDescent="0.25">
      <c r="A291" s="20" t="str">
        <f t="shared" ca="1" si="9"/>
        <v>Idee</v>
      </c>
      <c r="B291" s="7"/>
      <c r="C291" s="28" t="s">
        <v>511</v>
      </c>
      <c r="D291" s="28" t="s">
        <v>512</v>
      </c>
      <c r="E291" s="28" t="s">
        <v>1266</v>
      </c>
      <c r="F291" s="28"/>
      <c r="G291" s="22" t="s">
        <v>17</v>
      </c>
      <c r="J291" s="9"/>
    </row>
    <row r="292" spans="1:10" x14ac:dyDescent="0.25">
      <c r="A292" s="6" t="str">
        <f t="shared" ca="1" si="9"/>
        <v>Kriterium</v>
      </c>
      <c r="B292" s="7"/>
      <c r="C292" s="8" t="s">
        <v>316</v>
      </c>
      <c r="D292" s="8" t="s">
        <v>317</v>
      </c>
      <c r="E292" s="8" t="s">
        <v>1267</v>
      </c>
      <c r="F292" s="8"/>
      <c r="G292" s="23" t="s">
        <v>17</v>
      </c>
      <c r="J292" s="9"/>
    </row>
    <row r="293" spans="1:10" x14ac:dyDescent="0.25">
      <c r="A293" s="6" t="str">
        <f t="shared" ca="1" si="9"/>
        <v>Gewichtung</v>
      </c>
      <c r="B293" s="7"/>
      <c r="C293" s="8" t="s">
        <v>85</v>
      </c>
      <c r="D293" s="8" t="s">
        <v>86</v>
      </c>
      <c r="E293" s="8" t="s">
        <v>1268</v>
      </c>
      <c r="F293" s="8"/>
      <c r="G293" s="23" t="s">
        <v>17</v>
      </c>
      <c r="J293" s="9"/>
    </row>
    <row r="294" spans="1:10" x14ac:dyDescent="0.25">
      <c r="A294" s="6" t="str">
        <f t="shared" ca="1" si="9"/>
        <v>Bewertung</v>
      </c>
      <c r="B294" s="7"/>
      <c r="C294" s="8" t="s">
        <v>318</v>
      </c>
      <c r="D294" s="8" t="s">
        <v>319</v>
      </c>
      <c r="E294" s="8" t="s">
        <v>1269</v>
      </c>
      <c r="F294" s="8"/>
      <c r="G294" s="23" t="s">
        <v>17</v>
      </c>
      <c r="J294" s="9"/>
    </row>
    <row r="295" spans="1:10" x14ac:dyDescent="0.25">
      <c r="A295" s="25" t="str">
        <f t="shared" ca="1" si="9"/>
        <v>Total</v>
      </c>
      <c r="B295" s="7"/>
      <c r="C295" s="26" t="s">
        <v>97</v>
      </c>
      <c r="D295" s="26" t="s">
        <v>98</v>
      </c>
      <c r="E295" s="26" t="s">
        <v>97</v>
      </c>
      <c r="F295" s="26"/>
      <c r="G295" s="27" t="s">
        <v>17</v>
      </c>
      <c r="J295" s="9"/>
    </row>
    <row r="296" spans="1:10" x14ac:dyDescent="0.25">
      <c r="A296" s="16" t="str">
        <f t="shared" ca="1" si="9"/>
        <v>U R S A C H E  -  W I R K U N G S  -  D I A G R A M M</v>
      </c>
      <c r="B296" s="31"/>
      <c r="C296" s="16" t="s">
        <v>320</v>
      </c>
      <c r="D296" s="16" t="s">
        <v>321</v>
      </c>
      <c r="E296" s="16" t="s">
        <v>1271</v>
      </c>
      <c r="F296" s="16"/>
      <c r="G296" s="18" t="s">
        <v>17</v>
      </c>
      <c r="J296" s="9"/>
    </row>
    <row r="297" spans="1:10" x14ac:dyDescent="0.25">
      <c r="A297" s="34"/>
      <c r="B297" s="7"/>
      <c r="C297" s="35"/>
      <c r="D297" s="35"/>
      <c r="E297" s="35"/>
      <c r="F297" s="35"/>
      <c r="G297" s="36" t="s">
        <v>17</v>
      </c>
      <c r="H297" s="37"/>
      <c r="J297" s="9"/>
    </row>
    <row r="298" spans="1:10" x14ac:dyDescent="0.25">
      <c r="A298" s="16" t="str">
        <f t="shared" ref="A298:A361" ca="1" si="10">OFFSET($C298,0,$Z$5-1)</f>
        <v>P A R E T O   D I A G R A M M</v>
      </c>
      <c r="B298" s="31"/>
      <c r="C298" s="16" t="s">
        <v>450</v>
      </c>
      <c r="D298" s="16" t="s">
        <v>451</v>
      </c>
      <c r="E298" s="16" t="s">
        <v>1272</v>
      </c>
      <c r="F298" s="16"/>
      <c r="G298" s="18" t="s">
        <v>17</v>
      </c>
      <c r="J298" s="9"/>
    </row>
    <row r="299" spans="1:10" x14ac:dyDescent="0.25">
      <c r="A299" s="20" t="str">
        <f t="shared" ca="1" si="10"/>
        <v>Ranking</v>
      </c>
      <c r="B299" s="7"/>
      <c r="C299" s="28" t="s">
        <v>449</v>
      </c>
      <c r="D299" s="28" t="s">
        <v>449</v>
      </c>
      <c r="E299" s="28" t="s">
        <v>449</v>
      </c>
      <c r="F299" s="28"/>
      <c r="G299" s="22" t="s">
        <v>17</v>
      </c>
      <c r="H299" s="37"/>
      <c r="J299" s="9"/>
    </row>
    <row r="300" spans="1:10" x14ac:dyDescent="0.25">
      <c r="A300" s="6" t="str">
        <f t="shared" ca="1" si="10"/>
        <v>Ursachen des Problems</v>
      </c>
      <c r="B300" s="7"/>
      <c r="C300" s="8" t="s">
        <v>448</v>
      </c>
      <c r="D300" s="8" t="s">
        <v>521</v>
      </c>
      <c r="E300" s="8" t="s">
        <v>1273</v>
      </c>
      <c r="F300" s="8"/>
      <c r="G300" s="23" t="s">
        <v>17</v>
      </c>
      <c r="H300" s="37"/>
      <c r="J300" s="9"/>
    </row>
    <row r="301" spans="1:10" x14ac:dyDescent="0.25">
      <c r="A301" s="25" t="str">
        <f t="shared" ca="1" si="10"/>
        <v>Häufig-keit</v>
      </c>
      <c r="B301" s="7"/>
      <c r="C301" s="26" t="s">
        <v>545</v>
      </c>
      <c r="D301" s="26" t="s">
        <v>546</v>
      </c>
      <c r="E301" s="26" t="s">
        <v>1274</v>
      </c>
      <c r="F301" s="26"/>
      <c r="G301" s="27" t="s">
        <v>17</v>
      </c>
      <c r="H301" s="37"/>
      <c r="J301" s="9"/>
    </row>
    <row r="302" spans="1:10" x14ac:dyDescent="0.25">
      <c r="A302" s="16" t="str">
        <f t="shared" ca="1" si="10"/>
        <v>V A R I A N T E N B E W E R T U N G</v>
      </c>
      <c r="B302" s="31"/>
      <c r="C302" s="16" t="s">
        <v>805</v>
      </c>
      <c r="D302" s="16" t="s">
        <v>806</v>
      </c>
      <c r="E302" s="16" t="s">
        <v>1281</v>
      </c>
      <c r="F302" s="16"/>
      <c r="G302" s="18" t="s">
        <v>17</v>
      </c>
      <c r="J302" s="9"/>
    </row>
    <row r="303" spans="1:10" x14ac:dyDescent="0.25">
      <c r="A303" s="20" t="str">
        <f t="shared" ca="1" si="10"/>
        <v>Bereich</v>
      </c>
      <c r="B303" s="7"/>
      <c r="C303" s="28" t="s">
        <v>756</v>
      </c>
      <c r="D303" s="28" t="s">
        <v>757</v>
      </c>
      <c r="E303" s="28" t="s">
        <v>757</v>
      </c>
      <c r="F303" s="28"/>
      <c r="G303" s="22" t="s">
        <v>17</v>
      </c>
      <c r="H303" s="37"/>
      <c r="J303" s="9"/>
    </row>
    <row r="304" spans="1:10" x14ac:dyDescent="0.25">
      <c r="A304" s="6" t="str">
        <f t="shared" ca="1" si="10"/>
        <v>Indikator</v>
      </c>
      <c r="B304" s="7"/>
      <c r="C304" s="8" t="s">
        <v>807</v>
      </c>
      <c r="D304" s="8" t="s">
        <v>808</v>
      </c>
      <c r="E304" s="8" t="s">
        <v>1279</v>
      </c>
      <c r="F304" s="8"/>
      <c r="G304" s="23" t="s">
        <v>17</v>
      </c>
      <c r="H304" s="37"/>
      <c r="J304" s="9"/>
    </row>
    <row r="305" spans="1:26" x14ac:dyDescent="0.25">
      <c r="A305" s="6" t="str">
        <f t="shared" ca="1" si="10"/>
        <v>Einheit</v>
      </c>
      <c r="B305" s="7"/>
      <c r="C305" s="8" t="s">
        <v>455</v>
      </c>
      <c r="D305" s="8" t="s">
        <v>469</v>
      </c>
      <c r="E305" s="8" t="s">
        <v>1275</v>
      </c>
      <c r="F305" s="8"/>
      <c r="G305" s="23" t="s">
        <v>17</v>
      </c>
      <c r="H305" s="37"/>
      <c r="J305" s="9"/>
    </row>
    <row r="306" spans="1:26" x14ac:dyDescent="0.25">
      <c r="A306" s="6" t="str">
        <f t="shared" ca="1" si="10"/>
        <v>Aktueller Wert</v>
      </c>
      <c r="B306" s="7"/>
      <c r="C306" s="8" t="s">
        <v>456</v>
      </c>
      <c r="D306" s="8" t="s">
        <v>470</v>
      </c>
      <c r="E306" s="8" t="s">
        <v>1276</v>
      </c>
      <c r="F306" s="8"/>
      <c r="G306" s="23" t="s">
        <v>17</v>
      </c>
      <c r="H306" s="37"/>
      <c r="J306" s="9"/>
    </row>
    <row r="307" spans="1:26" x14ac:dyDescent="0.25">
      <c r="A307" s="6" t="str">
        <f t="shared" ca="1" si="10"/>
        <v>Verbesserung / Verschlechterung</v>
      </c>
      <c r="B307" s="7"/>
      <c r="C307" s="8" t="s">
        <v>457</v>
      </c>
      <c r="D307" s="8" t="s">
        <v>471</v>
      </c>
      <c r="E307" s="8" t="s">
        <v>1277</v>
      </c>
      <c r="F307" s="8"/>
      <c r="G307" s="23" t="s">
        <v>17</v>
      </c>
      <c r="H307" s="37"/>
      <c r="J307" s="9"/>
    </row>
    <row r="308" spans="1:26" x14ac:dyDescent="0.25">
      <c r="A308" s="6" t="str">
        <f t="shared" ca="1" si="10"/>
        <v>absolut</v>
      </c>
      <c r="B308" s="7"/>
      <c r="C308" s="8" t="s">
        <v>461</v>
      </c>
      <c r="D308" s="8" t="s">
        <v>472</v>
      </c>
      <c r="E308" s="8" t="s">
        <v>1278</v>
      </c>
      <c r="F308" s="8"/>
      <c r="G308" s="23" t="s">
        <v>17</v>
      </c>
      <c r="H308" s="37"/>
      <c r="J308" s="9"/>
    </row>
    <row r="309" spans="1:26" x14ac:dyDescent="0.25">
      <c r="A309" s="6" t="str">
        <f t="shared" ca="1" si="10"/>
        <v>Finanzen</v>
      </c>
      <c r="B309" s="7"/>
      <c r="C309" s="8" t="s">
        <v>603</v>
      </c>
      <c r="D309" s="8" t="s">
        <v>604</v>
      </c>
      <c r="E309" s="8" t="s">
        <v>604</v>
      </c>
      <c r="F309" s="8"/>
      <c r="G309" s="23" t="s">
        <v>17</v>
      </c>
      <c r="H309" s="37"/>
      <c r="J309" s="9"/>
    </row>
    <row r="310" spans="1:26" x14ac:dyDescent="0.25">
      <c r="A310" s="25" t="str">
        <f t="shared" ca="1" si="10"/>
        <v>Kunden</v>
      </c>
      <c r="B310" s="7"/>
      <c r="C310" s="26" t="s">
        <v>22</v>
      </c>
      <c r="D310" s="26" t="s">
        <v>23</v>
      </c>
      <c r="E310" s="26" t="s">
        <v>1280</v>
      </c>
      <c r="F310" s="26"/>
      <c r="G310" s="27" t="s">
        <v>17</v>
      </c>
      <c r="H310" s="37"/>
      <c r="J310" s="9"/>
    </row>
    <row r="311" spans="1:26" s="19" customFormat="1" x14ac:dyDescent="0.25">
      <c r="A311" s="16" t="str">
        <f t="shared" ca="1" si="10"/>
        <v xml:space="preserve">P R O Z E S S </v>
      </c>
      <c r="B311" s="17"/>
      <c r="C311" s="16" t="s">
        <v>474</v>
      </c>
      <c r="D311" s="16" t="s">
        <v>475</v>
      </c>
      <c r="E311" s="16" t="s">
        <v>1282</v>
      </c>
      <c r="F311" s="16"/>
      <c r="G311" s="18" t="s">
        <v>17</v>
      </c>
      <c r="I311" s="9"/>
      <c r="Z311" s="3"/>
    </row>
    <row r="312" spans="1:26" x14ac:dyDescent="0.25">
      <c r="A312" s="20" t="str">
        <f t="shared" ca="1" si="10"/>
        <v>Nr.</v>
      </c>
      <c r="B312" s="7"/>
      <c r="C312" s="28" t="s">
        <v>28</v>
      </c>
      <c r="D312" s="28" t="s">
        <v>29</v>
      </c>
      <c r="E312" s="28" t="s">
        <v>29</v>
      </c>
      <c r="F312" s="28"/>
      <c r="G312" s="22" t="s">
        <v>17</v>
      </c>
      <c r="J312" s="9"/>
    </row>
    <row r="313" spans="1:26" x14ac:dyDescent="0.25">
      <c r="A313" s="6" t="str">
        <f t="shared" ca="1" si="10"/>
        <v>Name</v>
      </c>
      <c r="B313" s="7"/>
      <c r="C313" s="8" t="s">
        <v>476</v>
      </c>
      <c r="D313" s="8" t="s">
        <v>477</v>
      </c>
      <c r="E313" s="8" t="s">
        <v>476</v>
      </c>
      <c r="F313" s="8"/>
      <c r="G313" s="23" t="s">
        <v>17</v>
      </c>
      <c r="J313" s="9"/>
    </row>
    <row r="314" spans="1:26" x14ac:dyDescent="0.25">
      <c r="A314" s="6" t="str">
        <f t="shared" ca="1" si="10"/>
        <v>Verantwortung</v>
      </c>
      <c r="B314" s="7"/>
      <c r="C314" s="8" t="s">
        <v>478</v>
      </c>
      <c r="D314" s="8" t="s">
        <v>479</v>
      </c>
      <c r="E314" s="8" t="s">
        <v>1283</v>
      </c>
      <c r="F314" s="8"/>
      <c r="G314" s="23" t="s">
        <v>17</v>
      </c>
      <c r="J314" s="9"/>
    </row>
    <row r="315" spans="1:26" x14ac:dyDescent="0.25">
      <c r="A315" s="6" t="str">
        <f t="shared" ca="1" si="10"/>
        <v>aktualisiert am:</v>
      </c>
      <c r="B315" s="7"/>
      <c r="C315" s="8" t="s">
        <v>480</v>
      </c>
      <c r="D315" s="8" t="s">
        <v>481</v>
      </c>
      <c r="E315" s="8" t="s">
        <v>1284</v>
      </c>
      <c r="F315" s="8"/>
      <c r="G315" s="23" t="s">
        <v>17</v>
      </c>
      <c r="J315" s="9"/>
    </row>
    <row r="316" spans="1:26" x14ac:dyDescent="0.25">
      <c r="A316" s="6" t="str">
        <f t="shared" ca="1" si="10"/>
        <v>Anderer Prozess</v>
      </c>
      <c r="B316" s="7"/>
      <c r="C316" s="8" t="s">
        <v>482</v>
      </c>
      <c r="D316" s="8" t="s">
        <v>483</v>
      </c>
      <c r="E316" s="8" t="s">
        <v>1285</v>
      </c>
      <c r="F316" s="8"/>
      <c r="G316" s="23" t="s">
        <v>17</v>
      </c>
      <c r="J316" s="9"/>
    </row>
    <row r="317" spans="1:26" x14ac:dyDescent="0.25">
      <c r="A317" s="6" t="str">
        <f t="shared" ca="1" si="10"/>
        <v>Nächste Seite</v>
      </c>
      <c r="B317" s="7"/>
      <c r="C317" s="8" t="s">
        <v>484</v>
      </c>
      <c r="D317" s="8" t="s">
        <v>485</v>
      </c>
      <c r="E317" s="8" t="s">
        <v>1286</v>
      </c>
      <c r="F317" s="8"/>
      <c r="G317" s="23" t="s">
        <v>17</v>
      </c>
      <c r="J317" s="9"/>
    </row>
    <row r="318" spans="1:26" x14ac:dyDescent="0.25">
      <c r="A318" s="6" t="str">
        <f t="shared" ca="1" si="10"/>
        <v>Beginn/Ende</v>
      </c>
      <c r="B318" s="7"/>
      <c r="C318" s="8" t="s">
        <v>486</v>
      </c>
      <c r="D318" s="8" t="s">
        <v>487</v>
      </c>
      <c r="E318" s="8" t="s">
        <v>1287</v>
      </c>
      <c r="F318" s="8"/>
      <c r="G318" s="23" t="s">
        <v>17</v>
      </c>
      <c r="J318" s="9"/>
    </row>
    <row r="319" spans="1:26" x14ac:dyDescent="0.25">
      <c r="A319" s="6" t="str">
        <f t="shared" ca="1" si="10"/>
        <v>Anschluss</v>
      </c>
      <c r="B319" s="7"/>
      <c r="C319" s="8" t="s">
        <v>488</v>
      </c>
      <c r="D319" s="8" t="s">
        <v>489</v>
      </c>
      <c r="E319" s="8" t="s">
        <v>1288</v>
      </c>
      <c r="F319" s="8"/>
      <c r="G319" s="23" t="s">
        <v>17</v>
      </c>
      <c r="J319" s="9"/>
    </row>
    <row r="320" spans="1:26" x14ac:dyDescent="0.25">
      <c r="A320" s="6" t="str">
        <f t="shared" ca="1" si="10"/>
        <v>Prozess</v>
      </c>
      <c r="B320" s="7"/>
      <c r="C320" s="8" t="s">
        <v>454</v>
      </c>
      <c r="D320" s="8" t="s">
        <v>468</v>
      </c>
      <c r="E320" s="8" t="s">
        <v>1289</v>
      </c>
      <c r="F320" s="8"/>
      <c r="G320" s="23" t="s">
        <v>17</v>
      </c>
      <c r="J320" s="9"/>
    </row>
    <row r="321" spans="1:10" x14ac:dyDescent="0.25">
      <c r="A321" s="6" t="str">
        <f t="shared" ca="1" si="10"/>
        <v>Dokument</v>
      </c>
      <c r="B321" s="7"/>
      <c r="C321" s="8" t="s">
        <v>490</v>
      </c>
      <c r="D321" s="8" t="s">
        <v>491</v>
      </c>
      <c r="E321" s="8" t="s">
        <v>491</v>
      </c>
      <c r="F321" s="8"/>
      <c r="G321" s="23" t="s">
        <v>17</v>
      </c>
      <c r="J321" s="9"/>
    </row>
    <row r="322" spans="1:10" x14ac:dyDescent="0.25">
      <c r="A322" s="6" t="str">
        <f t="shared" ca="1" si="10"/>
        <v>Entscheid</v>
      </c>
      <c r="B322" s="7"/>
      <c r="C322" s="8" t="s">
        <v>492</v>
      </c>
      <c r="D322" s="8" t="s">
        <v>493</v>
      </c>
      <c r="E322" s="8" t="s">
        <v>1290</v>
      </c>
      <c r="F322" s="8"/>
      <c r="G322" s="23" t="s">
        <v>17</v>
      </c>
      <c r="J322" s="9"/>
    </row>
    <row r="323" spans="1:10" x14ac:dyDescent="0.25">
      <c r="A323" s="6" t="str">
        <f t="shared" ca="1" si="10"/>
        <v>Forts.</v>
      </c>
      <c r="B323" s="7"/>
      <c r="C323" s="8" t="s">
        <v>494</v>
      </c>
      <c r="D323" s="8" t="s">
        <v>495</v>
      </c>
      <c r="E323" s="8" t="s">
        <v>1291</v>
      </c>
      <c r="F323" s="8"/>
      <c r="G323" s="23" t="s">
        <v>17</v>
      </c>
      <c r="J323" s="9"/>
    </row>
    <row r="324" spans="1:10" x14ac:dyDescent="0.25">
      <c r="A324" s="6" t="str">
        <f t="shared" ca="1" si="10"/>
        <v>ja</v>
      </c>
      <c r="B324" s="7"/>
      <c r="C324" s="8" t="s">
        <v>496</v>
      </c>
      <c r="D324" s="8" t="s">
        <v>497</v>
      </c>
      <c r="E324" s="8" t="s">
        <v>1292</v>
      </c>
      <c r="F324" s="8"/>
      <c r="G324" s="23" t="s">
        <v>17</v>
      </c>
      <c r="J324" s="9"/>
    </row>
    <row r="325" spans="1:10" x14ac:dyDescent="0.25">
      <c r="A325" s="6" t="str">
        <f t="shared" ca="1" si="10"/>
        <v>nein</v>
      </c>
      <c r="B325" s="7"/>
      <c r="C325" s="8" t="s">
        <v>498</v>
      </c>
      <c r="D325" s="8" t="s">
        <v>499</v>
      </c>
      <c r="E325" s="8" t="s">
        <v>1293</v>
      </c>
      <c r="F325" s="8"/>
      <c r="G325" s="23" t="s">
        <v>17</v>
      </c>
      <c r="J325" s="9"/>
    </row>
    <row r="326" spans="1:10" x14ac:dyDescent="0.25">
      <c r="A326" s="6" t="str">
        <f t="shared" ca="1" si="10"/>
        <v>S. 2</v>
      </c>
      <c r="B326" s="7"/>
      <c r="C326" s="8" t="s">
        <v>500</v>
      </c>
      <c r="D326" s="8" t="s">
        <v>501</v>
      </c>
      <c r="E326" s="8" t="s">
        <v>501</v>
      </c>
      <c r="F326" s="8"/>
      <c r="G326" s="23" t="s">
        <v>17</v>
      </c>
      <c r="J326" s="9"/>
    </row>
    <row r="327" spans="1:10" x14ac:dyDescent="0.25">
      <c r="A327" s="6" t="str">
        <f t="shared" ca="1" si="10"/>
        <v>Beginn</v>
      </c>
      <c r="B327" s="7"/>
      <c r="C327" s="8" t="s">
        <v>292</v>
      </c>
      <c r="D327" s="8" t="s">
        <v>293</v>
      </c>
      <c r="E327" s="8" t="s">
        <v>1294</v>
      </c>
      <c r="F327" s="8"/>
      <c r="G327" s="23" t="s">
        <v>17</v>
      </c>
      <c r="J327" s="9"/>
    </row>
    <row r="328" spans="1:10" x14ac:dyDescent="0.25">
      <c r="A328" s="6" t="str">
        <f t="shared" ca="1" si="10"/>
        <v>Ende</v>
      </c>
      <c r="B328" s="7"/>
      <c r="C328" s="8" t="s">
        <v>294</v>
      </c>
      <c r="D328" s="8" t="s">
        <v>295</v>
      </c>
      <c r="E328" s="8" t="s">
        <v>1295</v>
      </c>
      <c r="F328" s="8"/>
      <c r="G328" s="23" t="s">
        <v>17</v>
      </c>
      <c r="J328" s="9"/>
    </row>
    <row r="329" spans="1:10" x14ac:dyDescent="0.25">
      <c r="A329" s="6" t="str">
        <f t="shared" ca="1" si="10"/>
        <v>Nr. Prozess</v>
      </c>
      <c r="B329" s="7"/>
      <c r="C329" s="8" t="s">
        <v>502</v>
      </c>
      <c r="D329" s="8" t="s">
        <v>503</v>
      </c>
      <c r="E329" s="8" t="s">
        <v>1296</v>
      </c>
      <c r="F329" s="8"/>
      <c r="G329" s="23" t="s">
        <v>17</v>
      </c>
      <c r="J329" s="9"/>
    </row>
    <row r="330" spans="1:10" x14ac:dyDescent="0.25">
      <c r="A330" s="25" t="str">
        <f t="shared" ca="1" si="10"/>
        <v>Text</v>
      </c>
      <c r="B330" s="7"/>
      <c r="C330" s="26" t="s">
        <v>504</v>
      </c>
      <c r="D330" s="26" t="s">
        <v>505</v>
      </c>
      <c r="E330" s="26" t="s">
        <v>504</v>
      </c>
      <c r="F330" s="26"/>
      <c r="G330" s="27" t="s">
        <v>17</v>
      </c>
      <c r="J330" s="9"/>
    </row>
    <row r="331" spans="1:10" x14ac:dyDescent="0.25">
      <c r="A331" s="16" t="str">
        <f t="shared" ca="1" si="10"/>
        <v>F E H L E R A N A L Y S E</v>
      </c>
      <c r="B331" s="17"/>
      <c r="C331" s="16" t="s">
        <v>515</v>
      </c>
      <c r="D331" s="16" t="s">
        <v>516</v>
      </c>
      <c r="E331" s="16" t="s">
        <v>1304</v>
      </c>
      <c r="F331" s="16"/>
      <c r="G331" s="18" t="s">
        <v>17</v>
      </c>
      <c r="J331" s="9"/>
    </row>
    <row r="332" spans="1:10" x14ac:dyDescent="0.25">
      <c r="A332" s="20" t="str">
        <f t="shared" ca="1" si="10"/>
        <v>Prozess / Produkt / Dienstleistung</v>
      </c>
      <c r="B332" s="7"/>
      <c r="C332" s="28" t="s">
        <v>517</v>
      </c>
      <c r="D332" s="28" t="s">
        <v>518</v>
      </c>
      <c r="E332" s="28" t="s">
        <v>1305</v>
      </c>
      <c r="F332" s="28"/>
      <c r="G332" s="22" t="s">
        <v>17</v>
      </c>
      <c r="J332" s="9"/>
    </row>
    <row r="333" spans="1:10" x14ac:dyDescent="0.25">
      <c r="A333" s="6" t="str">
        <f t="shared" ca="1" si="10"/>
        <v>Fehler</v>
      </c>
      <c r="B333" s="7"/>
      <c r="C333" s="8" t="s">
        <v>519</v>
      </c>
      <c r="D333" s="8" t="s">
        <v>520</v>
      </c>
      <c r="E333" s="8" t="s">
        <v>1306</v>
      </c>
      <c r="F333" s="8"/>
      <c r="G333" s="23" t="s">
        <v>17</v>
      </c>
      <c r="J333" s="9"/>
    </row>
    <row r="334" spans="1:10" x14ac:dyDescent="0.25">
      <c r="A334" s="6" t="str">
        <f t="shared" ca="1" si="10"/>
        <v>Ursachen</v>
      </c>
      <c r="B334" s="7"/>
      <c r="C334" s="8" t="s">
        <v>542</v>
      </c>
      <c r="D334" s="8" t="s">
        <v>541</v>
      </c>
      <c r="E334" s="8" t="s">
        <v>1307</v>
      </c>
      <c r="F334" s="8"/>
      <c r="G334" s="23" t="s">
        <v>17</v>
      </c>
      <c r="J334" s="9"/>
    </row>
    <row r="335" spans="1:10" x14ac:dyDescent="0.25">
      <c r="A335" s="6" t="str">
        <f t="shared" ca="1" si="10"/>
        <v>Mögliche Massnahmen</v>
      </c>
      <c r="B335" s="7"/>
      <c r="C335" s="8" t="s">
        <v>30</v>
      </c>
      <c r="D335" s="8" t="s">
        <v>31</v>
      </c>
      <c r="E335" s="8" t="s">
        <v>1312</v>
      </c>
      <c r="F335" s="8"/>
      <c r="G335" s="23" t="s">
        <v>17</v>
      </c>
      <c r="J335" s="9"/>
    </row>
    <row r="336" spans="1:10" x14ac:dyDescent="0.25">
      <c r="A336" s="6" t="str">
        <f t="shared" ca="1" si="10"/>
        <v>Auftretenswahr-scheinlichkeit</v>
      </c>
      <c r="B336" s="7"/>
      <c r="C336" s="8" t="s">
        <v>544</v>
      </c>
      <c r="D336" s="8" t="s">
        <v>543</v>
      </c>
      <c r="E336" s="8" t="s">
        <v>1089</v>
      </c>
      <c r="F336" s="8"/>
      <c r="G336" s="23" t="s">
        <v>17</v>
      </c>
      <c r="J336" s="9"/>
    </row>
    <row r="337" spans="1:10" x14ac:dyDescent="0.25">
      <c r="A337" s="6" t="str">
        <f t="shared" ca="1" si="10"/>
        <v>vom:</v>
      </c>
      <c r="B337" s="7"/>
      <c r="C337" s="8" t="s">
        <v>593</v>
      </c>
      <c r="D337" s="8" t="s">
        <v>570</v>
      </c>
      <c r="E337" s="8" t="s">
        <v>1308</v>
      </c>
      <c r="F337" s="8"/>
      <c r="G337" s="23" t="s">
        <v>17</v>
      </c>
      <c r="J337" s="9"/>
    </row>
    <row r="338" spans="1:10" x14ac:dyDescent="0.25">
      <c r="A338" s="25" t="str">
        <f t="shared" ca="1" si="10"/>
        <v>bis:</v>
      </c>
      <c r="B338" s="7"/>
      <c r="C338" s="26" t="s">
        <v>571</v>
      </c>
      <c r="D338" s="26" t="s">
        <v>572</v>
      </c>
      <c r="E338" s="26" t="s">
        <v>1309</v>
      </c>
      <c r="F338" s="26"/>
      <c r="G338" s="27" t="s">
        <v>17</v>
      </c>
      <c r="J338" s="9"/>
    </row>
    <row r="339" spans="1:10" x14ac:dyDescent="0.25">
      <c r="A339" s="16" t="str">
        <f t="shared" ca="1" si="10"/>
        <v>K U N D E N R E K L A M A T I O N E N</v>
      </c>
      <c r="B339" s="17"/>
      <c r="C339" s="16" t="s">
        <v>569</v>
      </c>
      <c r="D339" s="16" t="s">
        <v>568</v>
      </c>
      <c r="E339" s="16" t="s">
        <v>1310</v>
      </c>
      <c r="F339" s="16"/>
      <c r="G339" s="18" t="s">
        <v>17</v>
      </c>
      <c r="J339" s="9"/>
    </row>
    <row r="340" spans="1:10" x14ac:dyDescent="0.25">
      <c r="A340" s="20" t="str">
        <f t="shared" ca="1" si="10"/>
        <v>Reklamationen</v>
      </c>
      <c r="B340" s="7"/>
      <c r="C340" s="28" t="s">
        <v>548</v>
      </c>
      <c r="D340" s="28" t="s">
        <v>547</v>
      </c>
      <c r="E340" s="28" t="s">
        <v>1311</v>
      </c>
      <c r="F340" s="28"/>
      <c r="G340" s="22" t="s">
        <v>17</v>
      </c>
      <c r="J340" s="9"/>
    </row>
    <row r="341" spans="1:10" x14ac:dyDescent="0.25">
      <c r="A341" s="25" t="str">
        <f t="shared" ca="1" si="10"/>
        <v>Mögliche Massnahmen</v>
      </c>
      <c r="B341" s="7"/>
      <c r="C341" s="26" t="s">
        <v>30</v>
      </c>
      <c r="D341" s="26" t="s">
        <v>31</v>
      </c>
      <c r="E341" s="26" t="s">
        <v>1312</v>
      </c>
      <c r="F341" s="26"/>
      <c r="G341" s="27" t="s">
        <v>17</v>
      </c>
      <c r="J341" s="9"/>
    </row>
    <row r="342" spans="1:10" ht="28.8" x14ac:dyDescent="0.25">
      <c r="A342" s="16" t="str">
        <f t="shared" ca="1" si="10"/>
        <v>Z I E L E  &amp;  S T R A T E G I E N    C H A N G E   M A N A G E M E N T</v>
      </c>
      <c r="B342" s="31"/>
      <c r="C342" s="16" t="s">
        <v>1406</v>
      </c>
      <c r="D342" s="16" t="s">
        <v>1408</v>
      </c>
      <c r="E342" s="16" t="s">
        <v>1407</v>
      </c>
      <c r="F342" s="16"/>
      <c r="G342" s="18" t="s">
        <v>17</v>
      </c>
      <c r="J342" s="9"/>
    </row>
    <row r="343" spans="1:10" x14ac:dyDescent="0.25">
      <c r="A343" s="20" t="str">
        <f t="shared" ca="1" si="10"/>
        <v>Alles anzeigen</v>
      </c>
      <c r="B343" s="7"/>
      <c r="C343" s="21" t="s">
        <v>266</v>
      </c>
      <c r="D343" s="21" t="s">
        <v>267</v>
      </c>
      <c r="E343" s="21" t="s">
        <v>1313</v>
      </c>
      <c r="F343" s="21"/>
      <c r="G343" s="22" t="s">
        <v>17</v>
      </c>
      <c r="J343" s="9"/>
    </row>
    <row r="344" spans="1:10" x14ac:dyDescent="0.25">
      <c r="A344" s="6" t="str">
        <f t="shared" ca="1" si="10"/>
        <v>Filter Druck</v>
      </c>
      <c r="B344" s="7"/>
      <c r="C344" s="8" t="s">
        <v>268</v>
      </c>
      <c r="D344" s="8" t="s">
        <v>269</v>
      </c>
      <c r="E344" s="8" t="s">
        <v>1314</v>
      </c>
      <c r="F344" s="8"/>
      <c r="G344" s="23" t="s">
        <v>17</v>
      </c>
      <c r="J344" s="9"/>
    </row>
    <row r="345" spans="1:10" x14ac:dyDescent="0.25">
      <c r="A345" s="6" t="str">
        <f t="shared" ca="1" si="10"/>
        <v>Links zu Dokumenten</v>
      </c>
      <c r="B345" s="7"/>
      <c r="C345" s="7" t="s">
        <v>270</v>
      </c>
      <c r="D345" s="7" t="s">
        <v>271</v>
      </c>
      <c r="E345" s="7" t="s">
        <v>1315</v>
      </c>
      <c r="F345" s="7"/>
      <c r="G345" s="23" t="s">
        <v>17</v>
      </c>
      <c r="J345" s="9"/>
    </row>
    <row r="346" spans="1:10" x14ac:dyDescent="0.25">
      <c r="A346" s="6" t="str">
        <f t="shared" ca="1" si="10"/>
        <v>E I N G A B E M A S K E</v>
      </c>
      <c r="B346" s="7"/>
      <c r="C346" s="7" t="s">
        <v>272</v>
      </c>
      <c r="D346" s="7" t="s">
        <v>273</v>
      </c>
      <c r="E346" s="7" t="s">
        <v>1316</v>
      </c>
      <c r="F346" s="7"/>
      <c r="G346" s="23" t="s">
        <v>17</v>
      </c>
      <c r="J346" s="9"/>
    </row>
    <row r="347" spans="1:10" x14ac:dyDescent="0.25">
      <c r="A347" s="6" t="str">
        <f t="shared" ca="1" si="10"/>
        <v>Nr.</v>
      </c>
      <c r="B347" s="7"/>
      <c r="C347" s="7" t="s">
        <v>28</v>
      </c>
      <c r="D347" s="7" t="s">
        <v>29</v>
      </c>
      <c r="E347" s="7" t="s">
        <v>29</v>
      </c>
      <c r="F347" s="7"/>
      <c r="G347" s="23" t="s">
        <v>17</v>
      </c>
      <c r="J347" s="9"/>
    </row>
    <row r="348" spans="1:10" x14ac:dyDescent="0.25">
      <c r="A348" s="6" t="str">
        <f t="shared" ca="1" si="10"/>
        <v>Strategien</v>
      </c>
      <c r="B348" s="7"/>
      <c r="C348" s="8" t="s">
        <v>264</v>
      </c>
      <c r="D348" s="8" t="s">
        <v>265</v>
      </c>
      <c r="E348" s="8" t="s">
        <v>1317</v>
      </c>
      <c r="F348" s="8"/>
      <c r="G348" s="23" t="s">
        <v>17</v>
      </c>
      <c r="J348" s="9"/>
    </row>
    <row r="349" spans="1:10" x14ac:dyDescent="0.25">
      <c r="A349" s="6" t="str">
        <f t="shared" ca="1" si="10"/>
        <v>Strategische Indikatoren</v>
      </c>
      <c r="B349" s="7"/>
      <c r="C349" s="7" t="s">
        <v>274</v>
      </c>
      <c r="D349" s="7" t="s">
        <v>275</v>
      </c>
      <c r="E349" s="7" t="s">
        <v>1318</v>
      </c>
      <c r="F349" s="7"/>
      <c r="G349" s="23" t="s">
        <v>17</v>
      </c>
      <c r="J349" s="9"/>
    </row>
    <row r="350" spans="1:10" x14ac:dyDescent="0.25">
      <c r="A350" s="6" t="str">
        <f t="shared" ca="1" si="10"/>
        <v>IST</v>
      </c>
      <c r="B350" s="7"/>
      <c r="C350" s="7" t="s">
        <v>276</v>
      </c>
      <c r="D350" s="7" t="s">
        <v>277</v>
      </c>
      <c r="E350" s="7" t="s">
        <v>1319</v>
      </c>
      <c r="F350" s="7"/>
      <c r="G350" s="23" t="s">
        <v>17</v>
      </c>
      <c r="J350" s="9"/>
    </row>
    <row r="351" spans="1:10" x14ac:dyDescent="0.25">
      <c r="A351" s="6" t="str">
        <f t="shared" ca="1" si="10"/>
        <v>SOLL</v>
      </c>
      <c r="B351" s="7"/>
      <c r="C351" s="7" t="s">
        <v>278</v>
      </c>
      <c r="D351" s="7" t="s">
        <v>279</v>
      </c>
      <c r="E351" s="7" t="s">
        <v>1320</v>
      </c>
      <c r="F351" s="7"/>
      <c r="G351" s="23" t="s">
        <v>17</v>
      </c>
      <c r="J351" s="9"/>
    </row>
    <row r="352" spans="1:10" x14ac:dyDescent="0.25">
      <c r="A352" s="6" t="str">
        <f t="shared" ca="1" si="10"/>
        <v>erreicht</v>
      </c>
      <c r="B352" s="7"/>
      <c r="C352" s="7" t="s">
        <v>280</v>
      </c>
      <c r="D352" s="7" t="s">
        <v>281</v>
      </c>
      <c r="E352" s="7" t="s">
        <v>1321</v>
      </c>
      <c r="F352" s="7"/>
      <c r="G352" s="23" t="s">
        <v>17</v>
      </c>
      <c r="J352" s="9"/>
    </row>
    <row r="353" spans="1:10" x14ac:dyDescent="0.25">
      <c r="A353" s="6" t="str">
        <f t="shared" ca="1" si="10"/>
        <v>rot</v>
      </c>
      <c r="B353" s="7"/>
      <c r="C353" s="7" t="s">
        <v>282</v>
      </c>
      <c r="D353" s="7" t="s">
        <v>283</v>
      </c>
      <c r="E353" s="7" t="s">
        <v>1322</v>
      </c>
      <c r="F353" s="7"/>
      <c r="G353" s="23" t="s">
        <v>17</v>
      </c>
      <c r="J353" s="9"/>
    </row>
    <row r="354" spans="1:10" x14ac:dyDescent="0.25">
      <c r="A354" s="6" t="str">
        <f t="shared" ca="1" si="10"/>
        <v>gelb</v>
      </c>
      <c r="B354" s="7"/>
      <c r="C354" s="7" t="s">
        <v>284</v>
      </c>
      <c r="D354" s="7" t="s">
        <v>285</v>
      </c>
      <c r="E354" s="7" t="s">
        <v>1323</v>
      </c>
      <c r="F354" s="7"/>
      <c r="G354" s="23" t="s">
        <v>17</v>
      </c>
      <c r="J354" s="9"/>
    </row>
    <row r="355" spans="1:10" x14ac:dyDescent="0.25">
      <c r="A355" s="6" t="str">
        <f t="shared" ca="1" si="10"/>
        <v>Ziele</v>
      </c>
      <c r="B355" s="7"/>
      <c r="C355" s="8" t="s">
        <v>1410</v>
      </c>
      <c r="D355" s="8" t="s">
        <v>1409</v>
      </c>
      <c r="E355" s="8" t="s">
        <v>1411</v>
      </c>
      <c r="F355" s="8"/>
      <c r="G355" s="23" t="s">
        <v>17</v>
      </c>
      <c r="J355" s="9"/>
    </row>
    <row r="356" spans="1:10" x14ac:dyDescent="0.25">
      <c r="A356" s="6" t="str">
        <f t="shared" ca="1" si="10"/>
        <v>Indikatoren</v>
      </c>
      <c r="B356" s="7"/>
      <c r="C356" s="8" t="s">
        <v>286</v>
      </c>
      <c r="D356" s="8" t="s">
        <v>287</v>
      </c>
      <c r="E356" s="8" t="s">
        <v>1324</v>
      </c>
      <c r="F356" s="8"/>
      <c r="G356" s="23" t="s">
        <v>17</v>
      </c>
      <c r="J356" s="9"/>
    </row>
    <row r="357" spans="1:10" x14ac:dyDescent="0.25">
      <c r="A357" s="6" t="str">
        <f t="shared" ca="1" si="10"/>
        <v>Projekte</v>
      </c>
      <c r="B357" s="7"/>
      <c r="C357" s="7" t="s">
        <v>288</v>
      </c>
      <c r="D357" s="7" t="s">
        <v>289</v>
      </c>
      <c r="E357" s="7" t="s">
        <v>1325</v>
      </c>
      <c r="F357" s="7"/>
      <c r="G357" s="23" t="s">
        <v>17</v>
      </c>
      <c r="J357" s="9"/>
    </row>
    <row r="358" spans="1:10" x14ac:dyDescent="0.25">
      <c r="A358" s="6" t="str">
        <f t="shared" ca="1" si="10"/>
        <v>Link zum Projekt</v>
      </c>
      <c r="B358" s="7"/>
      <c r="C358" s="7" t="s">
        <v>290</v>
      </c>
      <c r="D358" s="7" t="s">
        <v>291</v>
      </c>
      <c r="E358" s="7" t="s">
        <v>1326</v>
      </c>
      <c r="F358" s="7"/>
      <c r="G358" s="23" t="s">
        <v>17</v>
      </c>
      <c r="J358" s="9"/>
    </row>
    <row r="359" spans="1:10" x14ac:dyDescent="0.25">
      <c r="A359" s="6" t="str">
        <f t="shared" ca="1" si="10"/>
        <v>Beginn</v>
      </c>
      <c r="B359" s="7"/>
      <c r="C359" s="8" t="s">
        <v>292</v>
      </c>
      <c r="D359" s="8" t="s">
        <v>293</v>
      </c>
      <c r="E359" s="8" t="s">
        <v>1294</v>
      </c>
      <c r="F359" s="8"/>
      <c r="G359" s="23" t="s">
        <v>17</v>
      </c>
      <c r="J359" s="9"/>
    </row>
    <row r="360" spans="1:10" x14ac:dyDescent="0.25">
      <c r="A360" s="6" t="str">
        <f t="shared" ca="1" si="10"/>
        <v>Ende</v>
      </c>
      <c r="B360" s="7"/>
      <c r="C360" s="8" t="s">
        <v>294</v>
      </c>
      <c r="D360" s="8" t="s">
        <v>295</v>
      </c>
      <c r="E360" s="8" t="s">
        <v>1295</v>
      </c>
      <c r="F360" s="8"/>
      <c r="G360" s="23" t="s">
        <v>17</v>
      </c>
      <c r="J360" s="9"/>
    </row>
    <row r="361" spans="1:10" x14ac:dyDescent="0.25">
      <c r="A361" s="25" t="str">
        <f t="shared" ca="1" si="10"/>
        <v>Wer?</v>
      </c>
      <c r="B361" s="7"/>
      <c r="C361" s="26" t="s">
        <v>296</v>
      </c>
      <c r="D361" s="26" t="s">
        <v>297</v>
      </c>
      <c r="E361" s="26" t="s">
        <v>1327</v>
      </c>
      <c r="F361" s="26"/>
      <c r="G361" s="27" t="s">
        <v>17</v>
      </c>
      <c r="J361" s="9"/>
    </row>
    <row r="362" spans="1:10" x14ac:dyDescent="0.25">
      <c r="A362" s="16" t="str">
        <f t="shared" ref="A362:A425" ca="1" si="11">OFFSET($C362,0,$Z$5-1)</f>
        <v>S T R A T E G I S C H E   I N D I K A T O R E N</v>
      </c>
      <c r="B362" s="31"/>
      <c r="C362" s="16" t="s">
        <v>298</v>
      </c>
      <c r="D362" s="16" t="s">
        <v>299</v>
      </c>
      <c r="E362" s="16" t="s">
        <v>1332</v>
      </c>
      <c r="F362" s="16"/>
      <c r="G362" s="18" t="s">
        <v>17</v>
      </c>
      <c r="J362" s="9"/>
    </row>
    <row r="363" spans="1:10" x14ac:dyDescent="0.25">
      <c r="A363" s="20" t="str">
        <f t="shared" ca="1" si="11"/>
        <v>Berechnung</v>
      </c>
      <c r="B363" s="7"/>
      <c r="C363" s="28" t="s">
        <v>300</v>
      </c>
      <c r="D363" s="28" t="s">
        <v>301</v>
      </c>
      <c r="E363" s="28" t="s">
        <v>1328</v>
      </c>
      <c r="F363" s="28"/>
      <c r="G363" s="22" t="s">
        <v>17</v>
      </c>
      <c r="J363" s="9"/>
    </row>
    <row r="364" spans="1:10" x14ac:dyDescent="0.25">
      <c r="A364" s="6" t="str">
        <f t="shared" ca="1" si="11"/>
        <v>Beschreibung/Bemerkungen</v>
      </c>
      <c r="B364" s="7"/>
      <c r="C364" s="8" t="s">
        <v>302</v>
      </c>
      <c r="D364" s="8" t="s">
        <v>303</v>
      </c>
      <c r="E364" s="8" t="s">
        <v>1329</v>
      </c>
      <c r="F364" s="8"/>
      <c r="G364" s="23" t="s">
        <v>17</v>
      </c>
      <c r="J364" s="9"/>
    </row>
    <row r="365" spans="1:10" x14ac:dyDescent="0.25">
      <c r="A365" s="6" t="str">
        <f t="shared" ca="1" si="11"/>
        <v>Quelle</v>
      </c>
      <c r="B365" s="7"/>
      <c r="C365" s="8" t="s">
        <v>49</v>
      </c>
      <c r="D365" s="8" t="s">
        <v>50</v>
      </c>
      <c r="E365" s="8" t="s">
        <v>50</v>
      </c>
      <c r="F365" s="8"/>
      <c r="G365" s="23" t="s">
        <v>17</v>
      </c>
      <c r="J365" s="9"/>
    </row>
    <row r="366" spans="1:10" x14ac:dyDescent="0.25">
      <c r="A366" s="6" t="str">
        <f t="shared" ca="1" si="11"/>
        <v>Erhebungszeitpunkt &amp; Branchenvergleich</v>
      </c>
      <c r="B366" s="7"/>
      <c r="C366" s="32" t="s">
        <v>304</v>
      </c>
      <c r="D366" s="32" t="s">
        <v>305</v>
      </c>
      <c r="E366" s="32" t="s">
        <v>1330</v>
      </c>
      <c r="F366" s="32"/>
      <c r="G366" s="33" t="s">
        <v>17</v>
      </c>
      <c r="J366" s="9"/>
    </row>
    <row r="367" spans="1:10" x14ac:dyDescent="0.25">
      <c r="A367" s="25" t="str">
        <f t="shared" ca="1" si="11"/>
        <v>I N D I K A T O R E N   Z I E L E</v>
      </c>
      <c r="B367" s="7"/>
      <c r="C367" s="26" t="s">
        <v>306</v>
      </c>
      <c r="D367" s="26" t="s">
        <v>307</v>
      </c>
      <c r="E367" s="26" t="s">
        <v>1331</v>
      </c>
      <c r="F367" s="26"/>
      <c r="G367" s="27" t="s">
        <v>17</v>
      </c>
      <c r="J367" s="9"/>
    </row>
    <row r="368" spans="1:10" ht="28.8" x14ac:dyDescent="0.25">
      <c r="A368" s="16" t="str">
        <f t="shared" ca="1" si="11"/>
        <v>C O C K P I T  C H A N G E   M A N A G E M E N T</v>
      </c>
      <c r="B368" s="31"/>
      <c r="C368" s="16" t="s">
        <v>1403</v>
      </c>
      <c r="D368" s="16" t="s">
        <v>1404</v>
      </c>
      <c r="E368" s="16" t="s">
        <v>1405</v>
      </c>
      <c r="F368" s="16"/>
      <c r="G368" s="18" t="s">
        <v>17</v>
      </c>
      <c r="J368" s="9"/>
    </row>
    <row r="369" spans="1:26" x14ac:dyDescent="0.25">
      <c r="A369" s="34">
        <f t="shared" ca="1" si="11"/>
        <v>0</v>
      </c>
      <c r="B369" s="7"/>
      <c r="C369" s="38"/>
      <c r="D369" s="38"/>
      <c r="E369" s="38"/>
      <c r="F369" s="38"/>
      <c r="G369" s="36" t="s">
        <v>17</v>
      </c>
      <c r="J369" s="9"/>
    </row>
    <row r="370" spans="1:26" s="19" customFormat="1" x14ac:dyDescent="0.25">
      <c r="A370" s="16" t="str">
        <f t="shared" ca="1" si="11"/>
        <v>K O A L I T I O N E N</v>
      </c>
      <c r="B370" s="17"/>
      <c r="C370" s="16" t="s">
        <v>1841</v>
      </c>
      <c r="D370" s="16" t="s">
        <v>1842</v>
      </c>
      <c r="E370" s="16" t="s">
        <v>1843</v>
      </c>
      <c r="F370" s="16" t="s">
        <v>1844</v>
      </c>
      <c r="G370" s="18" t="s">
        <v>17</v>
      </c>
      <c r="I370" s="9"/>
      <c r="Z370" s="3"/>
    </row>
    <row r="371" spans="1:26" x14ac:dyDescent="0.25">
      <c r="A371" s="20" t="str">
        <f t="shared" ca="1" si="11"/>
        <v>weites Umfeld</v>
      </c>
      <c r="B371" s="7"/>
      <c r="C371" s="21" t="s">
        <v>704</v>
      </c>
      <c r="D371" s="21" t="s">
        <v>705</v>
      </c>
      <c r="E371" s="21" t="s">
        <v>1334</v>
      </c>
      <c r="F371" s="21" t="s">
        <v>1335</v>
      </c>
      <c r="G371" s="22" t="s">
        <v>17</v>
      </c>
      <c r="J371" s="9"/>
    </row>
    <row r="372" spans="1:26" x14ac:dyDescent="0.25">
      <c r="A372" s="6" t="str">
        <f t="shared" ca="1" si="11"/>
        <v>nahes Umfeld</v>
      </c>
      <c r="B372" s="7"/>
      <c r="C372" s="7" t="s">
        <v>706</v>
      </c>
      <c r="D372" s="7" t="s">
        <v>707</v>
      </c>
      <c r="E372" s="7" t="s">
        <v>1336</v>
      </c>
      <c r="F372" s="7" t="s">
        <v>1337</v>
      </c>
      <c r="G372" s="23" t="s">
        <v>17</v>
      </c>
      <c r="J372" s="9"/>
    </row>
    <row r="373" spans="1:26" x14ac:dyDescent="0.25">
      <c r="A373" s="6" t="str">
        <f t="shared" ca="1" si="11"/>
        <v>intern</v>
      </c>
      <c r="B373" s="7"/>
      <c r="C373" s="7" t="s">
        <v>18</v>
      </c>
      <c r="D373" s="7" t="s">
        <v>19</v>
      </c>
      <c r="E373" s="7" t="s">
        <v>1256</v>
      </c>
      <c r="F373" s="7" t="s">
        <v>1270</v>
      </c>
      <c r="G373" s="23" t="s">
        <v>17</v>
      </c>
      <c r="J373" s="9"/>
    </row>
    <row r="374" spans="1:26" x14ac:dyDescent="0.25">
      <c r="A374" s="6" t="str">
        <f t="shared" ca="1" si="11"/>
        <v>Wir</v>
      </c>
      <c r="B374" s="7"/>
      <c r="C374" s="8" t="s">
        <v>24</v>
      </c>
      <c r="D374" s="8" t="s">
        <v>25</v>
      </c>
      <c r="E374" s="8" t="s">
        <v>1117</v>
      </c>
      <c r="F374" s="8" t="s">
        <v>1118</v>
      </c>
      <c r="G374" s="23" t="s">
        <v>17</v>
      </c>
      <c r="J374" s="9"/>
    </row>
    <row r="375" spans="1:26" x14ac:dyDescent="0.25">
      <c r="A375" s="6" t="str">
        <f t="shared" ca="1" si="11"/>
        <v>häufiger Kontakt</v>
      </c>
      <c r="B375" s="7"/>
      <c r="C375" s="7" t="s">
        <v>708</v>
      </c>
      <c r="D375" s="7" t="s">
        <v>709</v>
      </c>
      <c r="E375" s="7" t="s">
        <v>1338</v>
      </c>
      <c r="F375" s="7" t="s">
        <v>1339</v>
      </c>
      <c r="G375" s="23" t="s">
        <v>17</v>
      </c>
      <c r="J375" s="9"/>
    </row>
    <row r="376" spans="1:26" x14ac:dyDescent="0.25">
      <c r="A376" s="6" t="str">
        <f t="shared" ca="1" si="11"/>
        <v>regelmässiger Kontakt</v>
      </c>
      <c r="B376" s="7"/>
      <c r="C376" s="7" t="s">
        <v>710</v>
      </c>
      <c r="D376" s="7" t="s">
        <v>711</v>
      </c>
      <c r="E376" s="7" t="s">
        <v>1340</v>
      </c>
      <c r="F376" s="7" t="s">
        <v>1341</v>
      </c>
      <c r="G376" s="23" t="s">
        <v>17</v>
      </c>
      <c r="J376" s="9"/>
    </row>
    <row r="377" spans="1:26" x14ac:dyDescent="0.25">
      <c r="A377" s="6" t="str">
        <f t="shared" ca="1" si="11"/>
        <v>seltener Kontakt</v>
      </c>
      <c r="B377" s="7"/>
      <c r="C377" s="7" t="s">
        <v>712</v>
      </c>
      <c r="D377" s="7" t="s">
        <v>713</v>
      </c>
      <c r="E377" s="7" t="s">
        <v>1342</v>
      </c>
      <c r="F377" s="7" t="s">
        <v>1343</v>
      </c>
      <c r="G377" s="23" t="s">
        <v>17</v>
      </c>
      <c r="J377" s="9"/>
    </row>
    <row r="378" spans="1:26" x14ac:dyDescent="0.25">
      <c r="A378" s="6" t="str">
        <f t="shared" ca="1" si="11"/>
        <v>hoch</v>
      </c>
      <c r="B378" s="7"/>
      <c r="C378" s="8" t="s">
        <v>26</v>
      </c>
      <c r="D378" s="8" t="s">
        <v>714</v>
      </c>
      <c r="E378" s="8" t="s">
        <v>1091</v>
      </c>
      <c r="F378" s="8" t="s">
        <v>1344</v>
      </c>
      <c r="G378" s="23" t="s">
        <v>17</v>
      </c>
      <c r="J378" s="9"/>
    </row>
    <row r="379" spans="1:26" x14ac:dyDescent="0.25">
      <c r="A379" s="6" t="str">
        <f t="shared" ca="1" si="11"/>
        <v>gross</v>
      </c>
      <c r="B379" s="7"/>
      <c r="C379" s="8" t="s">
        <v>715</v>
      </c>
      <c r="D379" s="8" t="s">
        <v>716</v>
      </c>
      <c r="E379" s="8" t="s">
        <v>1345</v>
      </c>
      <c r="F379" s="8" t="s">
        <v>714</v>
      </c>
      <c r="G379" s="23" t="s">
        <v>17</v>
      </c>
      <c r="J379" s="9"/>
    </row>
    <row r="380" spans="1:26" x14ac:dyDescent="0.25">
      <c r="A380" s="6" t="str">
        <f t="shared" ca="1" si="11"/>
        <v>Einfluss der Stakeholder</v>
      </c>
      <c r="B380" s="7"/>
      <c r="C380" s="8" t="s">
        <v>717</v>
      </c>
      <c r="D380" s="8" t="s">
        <v>718</v>
      </c>
      <c r="E380" s="8" t="s">
        <v>1346</v>
      </c>
      <c r="F380" s="8" t="s">
        <v>1347</v>
      </c>
      <c r="G380" s="23" t="s">
        <v>17</v>
      </c>
      <c r="J380" s="9"/>
    </row>
    <row r="381" spans="1:26" x14ac:dyDescent="0.25">
      <c r="A381" s="6" t="str">
        <f t="shared" ca="1" si="11"/>
        <v>gering</v>
      </c>
      <c r="B381" s="7"/>
      <c r="C381" s="8" t="s">
        <v>27</v>
      </c>
      <c r="D381" s="8" t="s">
        <v>719</v>
      </c>
      <c r="E381" s="8" t="s">
        <v>1095</v>
      </c>
      <c r="F381" s="8" t="s">
        <v>1348</v>
      </c>
      <c r="G381" s="23" t="s">
        <v>17</v>
      </c>
      <c r="J381" s="9"/>
    </row>
    <row r="382" spans="1:26" x14ac:dyDescent="0.25">
      <c r="A382" s="6" t="str">
        <f t="shared" ca="1" si="11"/>
        <v>klein</v>
      </c>
      <c r="B382" s="7"/>
      <c r="C382" s="8" t="s">
        <v>720</v>
      </c>
      <c r="D382" s="8" t="s">
        <v>721</v>
      </c>
      <c r="E382" s="8" t="s">
        <v>1349</v>
      </c>
      <c r="F382" s="8" t="s">
        <v>1350</v>
      </c>
      <c r="G382" s="23" t="s">
        <v>17</v>
      </c>
      <c r="J382" s="9"/>
    </row>
    <row r="383" spans="1:26" x14ac:dyDescent="0.25">
      <c r="A383" s="6" t="str">
        <f t="shared" ca="1" si="11"/>
        <v>Intersse der Stakeholder</v>
      </c>
      <c r="B383" s="7"/>
      <c r="C383" s="8" t="s">
        <v>722</v>
      </c>
      <c r="D383" s="8" t="s">
        <v>723</v>
      </c>
      <c r="E383" s="8" t="s">
        <v>1351</v>
      </c>
      <c r="F383" s="8" t="s">
        <v>1352</v>
      </c>
      <c r="G383" s="23" t="s">
        <v>17</v>
      </c>
      <c r="J383" s="9"/>
    </row>
    <row r="384" spans="1:26" x14ac:dyDescent="0.25">
      <c r="A384" s="6" t="str">
        <f t="shared" ca="1" si="11"/>
        <v>Nr.</v>
      </c>
      <c r="B384" s="7"/>
      <c r="C384" s="8" t="s">
        <v>28</v>
      </c>
      <c r="D384" s="8" t="s">
        <v>29</v>
      </c>
      <c r="E384" s="8" t="s">
        <v>29</v>
      </c>
      <c r="F384" s="8" t="s">
        <v>1083</v>
      </c>
      <c r="G384" s="23" t="s">
        <v>17</v>
      </c>
      <c r="J384" s="9"/>
    </row>
    <row r="385" spans="1:26" x14ac:dyDescent="0.25">
      <c r="A385" s="6" t="str">
        <f t="shared" ca="1" si="11"/>
        <v>Anspruchsgruppe</v>
      </c>
      <c r="B385" s="7"/>
      <c r="C385" s="8" t="s">
        <v>724</v>
      </c>
      <c r="D385" s="8" t="s">
        <v>725</v>
      </c>
      <c r="E385" s="8" t="s">
        <v>1353</v>
      </c>
      <c r="F385" s="8" t="s">
        <v>1354</v>
      </c>
      <c r="G385" s="23" t="s">
        <v>17</v>
      </c>
      <c r="J385" s="9"/>
    </row>
    <row r="386" spans="1:26" x14ac:dyDescent="0.25">
      <c r="A386" s="6" t="str">
        <f t="shared" ca="1" si="11"/>
        <v>Interessen, Erwartungen</v>
      </c>
      <c r="B386" s="7"/>
      <c r="C386" s="8" t="s">
        <v>726</v>
      </c>
      <c r="D386" s="8" t="s">
        <v>727</v>
      </c>
      <c r="E386" s="8" t="s">
        <v>1355</v>
      </c>
      <c r="F386" s="8" t="s">
        <v>1356</v>
      </c>
      <c r="G386" s="23" t="s">
        <v>17</v>
      </c>
      <c r="J386" s="9"/>
    </row>
    <row r="387" spans="1:26" x14ac:dyDescent="0.25">
      <c r="A387" s="6" t="str">
        <f t="shared" ca="1" si="11"/>
        <v>Stärke der Interessen</v>
      </c>
      <c r="B387" s="7"/>
      <c r="C387" s="8" t="s">
        <v>728</v>
      </c>
      <c r="D387" s="8" t="s">
        <v>729</v>
      </c>
      <c r="E387" s="8" t="s">
        <v>1357</v>
      </c>
      <c r="F387" s="8" t="s">
        <v>1358</v>
      </c>
      <c r="G387" s="23" t="s">
        <v>17</v>
      </c>
      <c r="J387" s="9"/>
    </row>
    <row r="388" spans="1:26" x14ac:dyDescent="0.25">
      <c r="A388" s="6" t="str">
        <f t="shared" ca="1" si="11"/>
        <v>Höhe des Einflusses</v>
      </c>
      <c r="B388" s="7"/>
      <c r="C388" s="8" t="s">
        <v>730</v>
      </c>
      <c r="D388" s="8" t="s">
        <v>731</v>
      </c>
      <c r="E388" s="8" t="s">
        <v>1359</v>
      </c>
      <c r="F388" s="8" t="s">
        <v>1360</v>
      </c>
      <c r="G388" s="23" t="s">
        <v>17</v>
      </c>
      <c r="J388" s="9"/>
    </row>
    <row r="389" spans="1:26" ht="28.8" x14ac:dyDescent="0.25">
      <c r="A389" s="6" t="str">
        <f t="shared" ca="1" si="11"/>
        <v>Chancen (+) und 
Gefahren (-)</v>
      </c>
      <c r="B389" s="7"/>
      <c r="C389" s="8" t="s">
        <v>732</v>
      </c>
      <c r="D389" s="8" t="s">
        <v>733</v>
      </c>
      <c r="E389" s="8" t="s">
        <v>1361</v>
      </c>
      <c r="F389" s="8" t="s">
        <v>1362</v>
      </c>
      <c r="G389" s="23" t="s">
        <v>17</v>
      </c>
      <c r="J389" s="9"/>
    </row>
    <row r="390" spans="1:26" x14ac:dyDescent="0.25">
      <c r="A390" s="6" t="str">
        <f t="shared" ca="1" si="11"/>
        <v>Mögliche Innovationen</v>
      </c>
      <c r="B390" s="7"/>
      <c r="C390" s="8" t="s">
        <v>753</v>
      </c>
      <c r="D390" s="8" t="s">
        <v>754</v>
      </c>
      <c r="E390" s="8" t="s">
        <v>1110</v>
      </c>
      <c r="F390" s="8" t="s">
        <v>1111</v>
      </c>
      <c r="G390" s="23" t="s">
        <v>17</v>
      </c>
      <c r="J390" s="9"/>
    </row>
    <row r="391" spans="1:26" x14ac:dyDescent="0.25">
      <c r="A391" s="6" t="str">
        <f t="shared" ca="1" si="11"/>
        <v>Status</v>
      </c>
      <c r="B391" s="7"/>
      <c r="C391" s="8" t="s">
        <v>32</v>
      </c>
      <c r="D391" s="8" t="s">
        <v>33</v>
      </c>
      <c r="E391" s="8" t="s">
        <v>32</v>
      </c>
      <c r="F391" s="8" t="s">
        <v>1112</v>
      </c>
      <c r="G391" s="23" t="s">
        <v>17</v>
      </c>
      <c r="J391" s="9"/>
    </row>
    <row r="392" spans="1:26" x14ac:dyDescent="0.25">
      <c r="A392" s="6" t="str">
        <f t="shared" ca="1" si="11"/>
        <v>Grösse der Gruppe</v>
      </c>
      <c r="B392" s="7"/>
      <c r="C392" s="8" t="s">
        <v>734</v>
      </c>
      <c r="D392" s="8" t="s">
        <v>735</v>
      </c>
      <c r="E392" s="8" t="s">
        <v>1363</v>
      </c>
      <c r="F392" s="8" t="s">
        <v>1364</v>
      </c>
      <c r="G392" s="23" t="s">
        <v>17</v>
      </c>
      <c r="J392" s="9"/>
    </row>
    <row r="393" spans="1:26" x14ac:dyDescent="0.25">
      <c r="A393" s="25" t="str">
        <f t="shared" ca="1" si="11"/>
        <v>S T A K E H O L D E R - A N A L Y S E</v>
      </c>
      <c r="B393" s="7"/>
      <c r="C393" s="26" t="s">
        <v>702</v>
      </c>
      <c r="D393" s="26" t="s">
        <v>703</v>
      </c>
      <c r="E393" s="26" t="s">
        <v>1333</v>
      </c>
      <c r="F393" s="26" t="s">
        <v>1365</v>
      </c>
      <c r="G393" s="27" t="s">
        <v>17</v>
      </c>
      <c r="J393" s="9"/>
    </row>
    <row r="394" spans="1:26" s="19" customFormat="1" x14ac:dyDescent="0.25">
      <c r="A394" s="16" t="str">
        <f t="shared" ca="1" si="11"/>
        <v xml:space="preserve"> T H E   B U S I N E S S   M O D E L   C A N V A S</v>
      </c>
      <c r="B394" s="17"/>
      <c r="C394" s="16" t="s">
        <v>820</v>
      </c>
      <c r="D394" s="16" t="s">
        <v>821</v>
      </c>
      <c r="E394" s="16" t="s">
        <v>822</v>
      </c>
      <c r="F394" s="16" t="s">
        <v>822</v>
      </c>
      <c r="G394" s="18" t="s">
        <v>17</v>
      </c>
      <c r="Z394" s="3"/>
    </row>
    <row r="395" spans="1:26" x14ac:dyDescent="0.25">
      <c r="A395" s="20" t="str">
        <f t="shared" ca="1" si="11"/>
        <v>Entwickelt für:</v>
      </c>
      <c r="B395" s="7"/>
      <c r="C395" s="21" t="s">
        <v>823</v>
      </c>
      <c r="D395" s="21" t="s">
        <v>824</v>
      </c>
      <c r="E395" s="21" t="s">
        <v>1366</v>
      </c>
      <c r="F395" s="21" t="s">
        <v>825</v>
      </c>
      <c r="G395" s="22" t="s">
        <v>17</v>
      </c>
      <c r="J395" s="9"/>
    </row>
    <row r="396" spans="1:26" x14ac:dyDescent="0.25">
      <c r="A396" s="6" t="str">
        <f t="shared" ca="1" si="11"/>
        <v>Entwickelt von:</v>
      </c>
      <c r="B396" s="7"/>
      <c r="C396" s="8" t="s">
        <v>826</v>
      </c>
      <c r="D396" s="8" t="s">
        <v>827</v>
      </c>
      <c r="E396" s="8" t="s">
        <v>1367</v>
      </c>
      <c r="F396" s="8" t="s">
        <v>828</v>
      </c>
      <c r="G396" s="23" t="s">
        <v>17</v>
      </c>
      <c r="J396" s="9"/>
    </row>
    <row r="397" spans="1:26" x14ac:dyDescent="0.25">
      <c r="A397" s="6" t="str">
        <f t="shared" ca="1" si="11"/>
        <v>Aktualisiert am:</v>
      </c>
      <c r="B397" s="7"/>
      <c r="C397" s="7" t="s">
        <v>829</v>
      </c>
      <c r="D397" s="7" t="s">
        <v>830</v>
      </c>
      <c r="E397" s="7" t="s">
        <v>1284</v>
      </c>
      <c r="F397" s="7" t="s">
        <v>831</v>
      </c>
      <c r="G397" s="23" t="s">
        <v>17</v>
      </c>
      <c r="J397" s="9"/>
    </row>
    <row r="398" spans="1:26" x14ac:dyDescent="0.25">
      <c r="A398" s="6" t="str">
        <f t="shared" ca="1" si="11"/>
        <v xml:space="preserve">Was bieten Sie den Kunden an? </v>
      </c>
      <c r="B398" s="7"/>
      <c r="C398" s="7" t="s">
        <v>832</v>
      </c>
      <c r="D398" s="7" t="s">
        <v>833</v>
      </c>
      <c r="E398" s="7" t="s">
        <v>1368</v>
      </c>
      <c r="F398" s="7" t="s">
        <v>834</v>
      </c>
      <c r="G398" s="23" t="s">
        <v>17</v>
      </c>
      <c r="J398" s="9"/>
    </row>
    <row r="399" spans="1:26" x14ac:dyDescent="0.25">
      <c r="A399" s="6" t="str">
        <f t="shared" ca="1" si="11"/>
        <v>Welche Produkte wünschen sie wirklich?</v>
      </c>
      <c r="B399" s="7"/>
      <c r="C399" s="7" t="s">
        <v>835</v>
      </c>
      <c r="D399" s="7" t="s">
        <v>836</v>
      </c>
      <c r="E399" s="7" t="s">
        <v>1369</v>
      </c>
      <c r="F399" s="7" t="s">
        <v>837</v>
      </c>
      <c r="G399" s="23" t="s">
        <v>17</v>
      </c>
      <c r="J399" s="9"/>
    </row>
    <row r="400" spans="1:26" x14ac:dyDescent="0.25">
      <c r="A400" s="6" t="str">
        <f t="shared" ca="1" si="11"/>
        <v>Sind sie interessiert?</v>
      </c>
      <c r="B400" s="7"/>
      <c r="C400" s="7" t="s">
        <v>838</v>
      </c>
      <c r="D400" s="7" t="s">
        <v>839</v>
      </c>
      <c r="E400" s="7" t="s">
        <v>1370</v>
      </c>
      <c r="F400" s="7" t="s">
        <v>840</v>
      </c>
      <c r="G400" s="23" t="s">
        <v>17</v>
      </c>
      <c r="J400" s="9"/>
    </row>
    <row r="401" spans="1:10" ht="43.2" x14ac:dyDescent="0.25">
      <c r="A401" s="6" t="str">
        <f t="shared" ca="1" si="11"/>
        <v>Welche Beziehungen bauen Sie mit den einzelnen Kundensegmenten auf? persönlich? virtuell? zurückhaltend? etc.</v>
      </c>
      <c r="B401" s="7"/>
      <c r="C401" s="8" t="s">
        <v>841</v>
      </c>
      <c r="D401" s="8" t="s">
        <v>842</v>
      </c>
      <c r="E401" s="8" t="s">
        <v>1371</v>
      </c>
      <c r="F401" s="8" t="s">
        <v>843</v>
      </c>
      <c r="G401" s="23" t="s">
        <v>17</v>
      </c>
      <c r="J401" s="9"/>
    </row>
    <row r="402" spans="1:10" x14ac:dyDescent="0.25">
      <c r="A402" s="6">
        <f t="shared" ca="1" si="11"/>
        <v>0</v>
      </c>
      <c r="B402" s="7"/>
      <c r="C402" s="8"/>
      <c r="D402" s="8"/>
      <c r="E402" s="8" t="s">
        <v>844</v>
      </c>
      <c r="F402" s="8" t="s">
        <v>844</v>
      </c>
      <c r="G402" s="23" t="s">
        <v>17</v>
      </c>
      <c r="J402" s="9"/>
    </row>
    <row r="403" spans="1:10" x14ac:dyDescent="0.25">
      <c r="A403" s="6">
        <f t="shared" ca="1" si="11"/>
        <v>0</v>
      </c>
      <c r="B403" s="7"/>
      <c r="C403" s="7"/>
      <c r="D403" s="7"/>
      <c r="E403" s="7" t="s">
        <v>844</v>
      </c>
      <c r="F403" s="7" t="s">
        <v>844</v>
      </c>
      <c r="G403" s="23" t="s">
        <v>17</v>
      </c>
      <c r="J403" s="9"/>
    </row>
    <row r="404" spans="1:10" x14ac:dyDescent="0.25">
      <c r="A404" s="6" t="str">
        <f t="shared" ca="1" si="11"/>
        <v>Wie erreichen Sie den Kunden?</v>
      </c>
      <c r="B404" s="7"/>
      <c r="C404" s="7" t="s">
        <v>845</v>
      </c>
      <c r="D404" s="7" t="s">
        <v>846</v>
      </c>
      <c r="E404" s="7" t="s">
        <v>1372</v>
      </c>
      <c r="F404" s="7" t="s">
        <v>847</v>
      </c>
      <c r="G404" s="23" t="s">
        <v>17</v>
      </c>
      <c r="J404" s="9"/>
    </row>
    <row r="405" spans="1:10" x14ac:dyDescent="0.25">
      <c r="A405" s="6" t="str">
        <f t="shared" ca="1" si="11"/>
        <v>Wer sind die Kunden?</v>
      </c>
      <c r="B405" s="7"/>
      <c r="C405" s="7" t="s">
        <v>848</v>
      </c>
      <c r="D405" s="7" t="s">
        <v>849</v>
      </c>
      <c r="E405" s="7" t="s">
        <v>1373</v>
      </c>
      <c r="F405" s="7" t="s">
        <v>850</v>
      </c>
      <c r="G405" s="23" t="s">
        <v>17</v>
      </c>
      <c r="J405" s="9"/>
    </row>
    <row r="406" spans="1:10" x14ac:dyDescent="0.25">
      <c r="A406" s="6" t="str">
        <f t="shared" ca="1" si="11"/>
        <v>Was sind ihre Bedürfnisse?</v>
      </c>
      <c r="B406" s="7"/>
      <c r="C406" s="7" t="s">
        <v>851</v>
      </c>
      <c r="D406" s="7" t="s">
        <v>852</v>
      </c>
      <c r="E406" s="7" t="s">
        <v>1374</v>
      </c>
      <c r="F406" s="7" t="s">
        <v>853</v>
      </c>
      <c r="G406" s="23" t="s">
        <v>17</v>
      </c>
      <c r="J406" s="9"/>
    </row>
    <row r="407" spans="1:10" ht="43.2" x14ac:dyDescent="0.25">
      <c r="A407" s="6" t="str">
        <f t="shared" ca="1" si="11"/>
        <v>Was sind die Kunden bereit zu zahlen? Wie will der Kunde bezahlen? Wie werden Einnahmen generiert?</v>
      </c>
      <c r="B407" s="7"/>
      <c r="C407" s="7" t="s">
        <v>854</v>
      </c>
      <c r="D407" s="7" t="s">
        <v>855</v>
      </c>
      <c r="E407" s="7" t="s">
        <v>1375</v>
      </c>
      <c r="F407" s="7" t="s">
        <v>856</v>
      </c>
      <c r="G407" s="23" t="s">
        <v>17</v>
      </c>
      <c r="J407" s="9"/>
    </row>
    <row r="408" spans="1:10" x14ac:dyDescent="0.25">
      <c r="A408" s="6" t="str">
        <f t="shared" ca="1" si="11"/>
        <v xml:space="preserve">Wie möchten die Kunden beliefert werden? </v>
      </c>
      <c r="B408" s="7"/>
      <c r="C408" s="7" t="s">
        <v>857</v>
      </c>
      <c r="D408" s="7" t="s">
        <v>858</v>
      </c>
      <c r="E408" s="7" t="s">
        <v>1376</v>
      </c>
      <c r="F408" s="7" t="s">
        <v>859</v>
      </c>
      <c r="G408" s="23" t="s">
        <v>17</v>
      </c>
      <c r="J408" s="9"/>
    </row>
    <row r="409" spans="1:10" x14ac:dyDescent="0.25">
      <c r="A409" s="6" t="str">
        <f t="shared" ca="1" si="11"/>
        <v>Welche Distributionskanäle?</v>
      </c>
      <c r="B409" s="7"/>
      <c r="C409" s="7" t="s">
        <v>860</v>
      </c>
      <c r="D409" s="7" t="s">
        <v>861</v>
      </c>
      <c r="E409" s="7" t="s">
        <v>1377</v>
      </c>
      <c r="F409" s="7" t="s">
        <v>862</v>
      </c>
      <c r="G409" s="23" t="s">
        <v>17</v>
      </c>
      <c r="J409" s="9"/>
    </row>
    <row r="410" spans="1:10" x14ac:dyDescent="0.25">
      <c r="A410" s="6" t="str">
        <f t="shared" ca="1" si="11"/>
        <v>Welche Kernkompetenzen sind nötig?</v>
      </c>
      <c r="B410" s="7"/>
      <c r="C410" s="7" t="s">
        <v>863</v>
      </c>
      <c r="D410" s="7" t="s">
        <v>864</v>
      </c>
      <c r="E410" s="7" t="s">
        <v>1378</v>
      </c>
      <c r="F410" s="7" t="s">
        <v>865</v>
      </c>
      <c r="G410" s="23" t="s">
        <v>17</v>
      </c>
      <c r="J410" s="9"/>
    </row>
    <row r="411" spans="1:10" x14ac:dyDescent="0.25">
      <c r="A411" s="6" t="str">
        <f t="shared" ca="1" si="11"/>
        <v>Welche Ressourcen sind unbedingt nötig?</v>
      </c>
      <c r="B411" s="7"/>
      <c r="C411" s="7" t="s">
        <v>866</v>
      </c>
      <c r="D411" s="7" t="s">
        <v>867</v>
      </c>
      <c r="E411" s="7" t="s">
        <v>1379</v>
      </c>
      <c r="F411" s="7" t="s">
        <v>868</v>
      </c>
      <c r="G411" s="23" t="s">
        <v>17</v>
      </c>
      <c r="J411" s="9"/>
    </row>
    <row r="412" spans="1:10" x14ac:dyDescent="0.25">
      <c r="A412" s="6" t="str">
        <f t="shared" ca="1" si="11"/>
        <v>Welche Trümpfe habe ich?</v>
      </c>
      <c r="B412" s="7"/>
      <c r="C412" s="7" t="s">
        <v>869</v>
      </c>
      <c r="D412" s="7" t="s">
        <v>870</v>
      </c>
      <c r="E412" s="7" t="s">
        <v>1380</v>
      </c>
      <c r="F412" s="7" t="s">
        <v>871</v>
      </c>
      <c r="G412" s="23" t="s">
        <v>17</v>
      </c>
      <c r="J412" s="9"/>
    </row>
    <row r="413" spans="1:10" ht="28.8" x14ac:dyDescent="0.25">
      <c r="A413" s="6" t="str">
        <f t="shared" ca="1" si="11"/>
        <v xml:space="preserve">Welche Partner und Lieferanten bringen mir einen Mehrwert? </v>
      </c>
      <c r="B413" s="7"/>
      <c r="C413" s="8" t="s">
        <v>872</v>
      </c>
      <c r="D413" s="8" t="s">
        <v>873</v>
      </c>
      <c r="E413" s="8" t="s">
        <v>1381</v>
      </c>
      <c r="F413" s="8" t="s">
        <v>874</v>
      </c>
      <c r="G413" s="23" t="s">
        <v>17</v>
      </c>
      <c r="J413" s="9"/>
    </row>
    <row r="414" spans="1:10" x14ac:dyDescent="0.25">
      <c r="A414" s="6">
        <f t="shared" ca="1" si="11"/>
        <v>0</v>
      </c>
      <c r="B414" s="7"/>
      <c r="C414" s="7"/>
      <c r="D414" s="7"/>
      <c r="E414" s="7" t="s">
        <v>844</v>
      </c>
      <c r="F414" s="7" t="s">
        <v>844</v>
      </c>
      <c r="G414" s="23" t="s">
        <v>17</v>
      </c>
      <c r="J414" s="9"/>
    </row>
    <row r="415" spans="1:10" x14ac:dyDescent="0.25">
      <c r="A415" s="6" t="str">
        <f t="shared" ca="1" si="11"/>
        <v>Von wem bin ich abhängig?</v>
      </c>
      <c r="B415" s="7"/>
      <c r="C415" s="8" t="s">
        <v>875</v>
      </c>
      <c r="D415" s="8" t="s">
        <v>876</v>
      </c>
      <c r="E415" s="8" t="s">
        <v>1382</v>
      </c>
      <c r="F415" s="8" t="s">
        <v>877</v>
      </c>
      <c r="G415" s="23" t="s">
        <v>17</v>
      </c>
      <c r="J415" s="9"/>
    </row>
    <row r="416" spans="1:10" ht="28.8" x14ac:dyDescent="0.25">
      <c r="A416" s="6" t="str">
        <f t="shared" ca="1" si="11"/>
        <v>Was ist die Kostenstruktur? Welche Kernelemente verursachen die höchsten Kosten?</v>
      </c>
      <c r="B416" s="7"/>
      <c r="C416" s="7" t="s">
        <v>878</v>
      </c>
      <c r="D416" s="7" t="s">
        <v>879</v>
      </c>
      <c r="E416" s="7" t="s">
        <v>1383</v>
      </c>
      <c r="F416" s="7" t="s">
        <v>880</v>
      </c>
      <c r="G416" s="23" t="s">
        <v>17</v>
      </c>
      <c r="J416" s="9"/>
    </row>
    <row r="417" spans="1:26" x14ac:dyDescent="0.25">
      <c r="A417" s="6" t="str">
        <f t="shared" ca="1" si="11"/>
        <v xml:space="preserve">Welches sind meine Kernaktivitäten? </v>
      </c>
      <c r="B417" s="7"/>
      <c r="C417" s="7" t="s">
        <v>881</v>
      </c>
      <c r="D417" s="7" t="s">
        <v>882</v>
      </c>
      <c r="E417" s="7" t="s">
        <v>1384</v>
      </c>
      <c r="F417" s="7" t="s">
        <v>883</v>
      </c>
      <c r="G417" s="23" t="s">
        <v>17</v>
      </c>
      <c r="J417" s="9"/>
    </row>
    <row r="418" spans="1:26" x14ac:dyDescent="0.25">
      <c r="A418" s="6" t="str">
        <f t="shared" ca="1" si="11"/>
        <v xml:space="preserve">Welche Expertise brauche ich? </v>
      </c>
      <c r="B418" s="7"/>
      <c r="C418" s="7" t="s">
        <v>884</v>
      </c>
      <c r="D418" s="7" t="s">
        <v>885</v>
      </c>
      <c r="E418" s="7" t="s">
        <v>1385</v>
      </c>
      <c r="F418" s="7" t="s">
        <v>886</v>
      </c>
      <c r="G418" s="23" t="s">
        <v>17</v>
      </c>
      <c r="J418" s="9"/>
    </row>
    <row r="419" spans="1:26" x14ac:dyDescent="0.25">
      <c r="A419" s="6" t="str">
        <f t="shared" ca="1" si="11"/>
        <v>Was ist unverzichtbar?</v>
      </c>
      <c r="B419" s="7"/>
      <c r="C419" s="7" t="s">
        <v>887</v>
      </c>
      <c r="D419" s="7" t="s">
        <v>888</v>
      </c>
      <c r="E419" s="7" t="s">
        <v>1386</v>
      </c>
      <c r="F419" s="7" t="s">
        <v>889</v>
      </c>
      <c r="G419" s="23" t="s">
        <v>17</v>
      </c>
      <c r="J419" s="9"/>
    </row>
    <row r="420" spans="1:26" x14ac:dyDescent="0.25">
      <c r="A420" s="25">
        <f t="shared" ca="1" si="11"/>
        <v>0</v>
      </c>
      <c r="B420" s="7"/>
      <c r="C420" s="30"/>
      <c r="D420" s="30"/>
      <c r="E420" s="30"/>
      <c r="F420" s="30" t="s">
        <v>844</v>
      </c>
      <c r="G420" s="27" t="s">
        <v>17</v>
      </c>
      <c r="J420" s="9"/>
    </row>
    <row r="421" spans="1:26" s="19" customFormat="1" x14ac:dyDescent="0.25">
      <c r="A421" s="16" t="str">
        <f t="shared" ca="1" si="11"/>
        <v>C O N S U M E R   T R E N D   C A N V A S</v>
      </c>
      <c r="B421" s="17"/>
      <c r="C421" s="16" t="s">
        <v>1052</v>
      </c>
      <c r="D421" s="16" t="s">
        <v>1052</v>
      </c>
      <c r="E421" s="16" t="s">
        <v>1052</v>
      </c>
      <c r="F421" s="16" t="s">
        <v>1052</v>
      </c>
      <c r="G421" s="18" t="s">
        <v>17</v>
      </c>
      <c r="Z421" s="3"/>
    </row>
    <row r="422" spans="1:26" x14ac:dyDescent="0.25">
      <c r="A422" s="20" t="str">
        <f t="shared" ca="1" si="11"/>
        <v>Basic Needs</v>
      </c>
      <c r="B422" s="7"/>
      <c r="C422" s="28" t="s">
        <v>1053</v>
      </c>
      <c r="D422" s="28" t="s">
        <v>1053</v>
      </c>
      <c r="E422" s="28" t="s">
        <v>1053</v>
      </c>
      <c r="F422" s="28" t="s">
        <v>1053</v>
      </c>
      <c r="G422" s="22" t="s">
        <v>17</v>
      </c>
      <c r="J422" s="9"/>
    </row>
    <row r="423" spans="1:26" x14ac:dyDescent="0.25">
      <c r="A423" s="6" t="str">
        <f t="shared" ca="1" si="11"/>
        <v>Drivers of Change</v>
      </c>
      <c r="B423" s="7"/>
      <c r="C423" s="8" t="s">
        <v>1054</v>
      </c>
      <c r="D423" s="8" t="s">
        <v>1054</v>
      </c>
      <c r="E423" s="8" t="s">
        <v>1054</v>
      </c>
      <c r="F423" s="8" t="s">
        <v>1054</v>
      </c>
      <c r="G423" s="23" t="s">
        <v>17</v>
      </c>
      <c r="J423" s="9"/>
    </row>
    <row r="424" spans="1:26" x14ac:dyDescent="0.25">
      <c r="A424" s="6" t="str">
        <f t="shared" ca="1" si="11"/>
        <v>Emerging Consumer Expectations</v>
      </c>
      <c r="B424" s="7"/>
      <c r="C424" s="8" t="s">
        <v>1055</v>
      </c>
      <c r="D424" s="8" t="s">
        <v>1055</v>
      </c>
      <c r="E424" s="8" t="s">
        <v>1055</v>
      </c>
      <c r="F424" s="8" t="s">
        <v>1055</v>
      </c>
      <c r="G424" s="23" t="s">
        <v>17</v>
      </c>
      <c r="J424" s="9"/>
    </row>
    <row r="425" spans="1:26" x14ac:dyDescent="0.25">
      <c r="A425" s="6" t="str">
        <f t="shared" ca="1" si="11"/>
        <v>Inspiration</v>
      </c>
      <c r="B425" s="7"/>
      <c r="C425" s="8" t="s">
        <v>1056</v>
      </c>
      <c r="D425" s="8" t="s">
        <v>1056</v>
      </c>
      <c r="E425" s="8" t="s">
        <v>1056</v>
      </c>
      <c r="F425" s="8" t="s">
        <v>1056</v>
      </c>
      <c r="G425" s="23" t="s">
        <v>17</v>
      </c>
      <c r="J425" s="9"/>
    </row>
    <row r="426" spans="1:26" x14ac:dyDescent="0.25">
      <c r="A426" s="6" t="str">
        <f t="shared" ref="A426:A489" ca="1" si="12">OFFSET($C426,0,$Z$5-1)</f>
        <v>Innovation Potential</v>
      </c>
      <c r="B426" s="7"/>
      <c r="C426" s="8" t="s">
        <v>1057</v>
      </c>
      <c r="D426" s="8" t="s">
        <v>1057</v>
      </c>
      <c r="E426" s="8" t="s">
        <v>1057</v>
      </c>
      <c r="F426" s="8" t="s">
        <v>1057</v>
      </c>
      <c r="G426" s="23" t="s">
        <v>17</v>
      </c>
      <c r="J426" s="9"/>
    </row>
    <row r="427" spans="1:26" x14ac:dyDescent="0.25">
      <c r="A427" s="6" t="str">
        <f t="shared" ca="1" si="12"/>
        <v>Who</v>
      </c>
      <c r="B427" s="7"/>
      <c r="C427" s="8" t="s">
        <v>1058</v>
      </c>
      <c r="D427" s="8" t="s">
        <v>1058</v>
      </c>
      <c r="E427" s="8" t="s">
        <v>1058</v>
      </c>
      <c r="F427" s="8" t="s">
        <v>1058</v>
      </c>
      <c r="G427" s="23" t="s">
        <v>17</v>
      </c>
      <c r="J427" s="9"/>
    </row>
    <row r="428" spans="1:26" x14ac:dyDescent="0.25">
      <c r="A428" s="6" t="str">
        <f t="shared" ca="1" si="12"/>
        <v>YOUR INNOVATION(S!)</v>
      </c>
      <c r="B428" s="7"/>
      <c r="C428" s="8" t="s">
        <v>1059</v>
      </c>
      <c r="D428" s="8" t="s">
        <v>1059</v>
      </c>
      <c r="E428" s="8" t="s">
        <v>1059</v>
      </c>
      <c r="F428" s="8" t="s">
        <v>1059</v>
      </c>
      <c r="G428" s="23" t="s">
        <v>17</v>
      </c>
      <c r="J428" s="9"/>
    </row>
    <row r="429" spans="1:26" x14ac:dyDescent="0.25">
      <c r="A429" s="6" t="str">
        <f t="shared" ca="1" si="12"/>
        <v>Trend:</v>
      </c>
      <c r="B429" s="7"/>
      <c r="C429" s="8" t="s">
        <v>1060</v>
      </c>
      <c r="D429" s="8" t="s">
        <v>1060</v>
      </c>
      <c r="E429" s="8" t="s">
        <v>1060</v>
      </c>
      <c r="F429" s="8" t="s">
        <v>1060</v>
      </c>
      <c r="G429" s="23" t="s">
        <v>17</v>
      </c>
      <c r="J429" s="9"/>
    </row>
    <row r="430" spans="1:26" ht="28.8" x14ac:dyDescent="0.25">
      <c r="A430" s="6" t="str">
        <f t="shared" ca="1" si="12"/>
        <v>What deep consumer needs &amp; desires does this trend address?</v>
      </c>
      <c r="B430" s="7"/>
      <c r="C430" s="8" t="s">
        <v>1061</v>
      </c>
      <c r="D430" s="8" t="s">
        <v>1061</v>
      </c>
      <c r="E430" s="8" t="s">
        <v>1061</v>
      </c>
      <c r="F430" s="8" t="s">
        <v>1061</v>
      </c>
      <c r="G430" s="23" t="s">
        <v>17</v>
      </c>
      <c r="J430" s="9"/>
    </row>
    <row r="431" spans="1:26" x14ac:dyDescent="0.25">
      <c r="A431" s="6" t="str">
        <f t="shared" ca="1" si="12"/>
        <v>Why is this trend emerging now? What’s changing?</v>
      </c>
      <c r="B431" s="7"/>
      <c r="C431" s="8" t="s">
        <v>1062</v>
      </c>
      <c r="D431" s="8" t="s">
        <v>1062</v>
      </c>
      <c r="E431" s="8" t="s">
        <v>1062</v>
      </c>
      <c r="F431" s="8" t="s">
        <v>1062</v>
      </c>
      <c r="G431" s="23" t="s">
        <v>17</v>
      </c>
      <c r="J431" s="9"/>
    </row>
    <row r="432" spans="1:26" x14ac:dyDescent="0.25">
      <c r="A432" s="6" t="str">
        <f t="shared" ca="1" si="12"/>
        <v>Shifts: Long-term, widespread macro changes</v>
      </c>
      <c r="B432" s="7"/>
      <c r="C432" s="8" t="s">
        <v>1063</v>
      </c>
      <c r="D432" s="8" t="s">
        <v>1063</v>
      </c>
      <c r="E432" s="8" t="s">
        <v>1063</v>
      </c>
      <c r="F432" s="8" t="s">
        <v>1063</v>
      </c>
      <c r="G432" s="23" t="s">
        <v>17</v>
      </c>
      <c r="J432" s="9"/>
    </row>
    <row r="433" spans="1:26" x14ac:dyDescent="0.25">
      <c r="A433" s="6" t="str">
        <f t="shared" ca="1" si="12"/>
        <v>Triggers: Recent, short-term changes or technologies</v>
      </c>
      <c r="B433" s="7"/>
      <c r="C433" s="7" t="s">
        <v>1064</v>
      </c>
      <c r="D433" s="7" t="s">
        <v>1064</v>
      </c>
      <c r="E433" s="7" t="s">
        <v>1064</v>
      </c>
      <c r="F433" s="7" t="s">
        <v>1064</v>
      </c>
      <c r="G433" s="23" t="s">
        <v>17</v>
      </c>
      <c r="J433" s="9"/>
    </row>
    <row r="434" spans="1:26" ht="43.2" x14ac:dyDescent="0.25">
      <c r="A434" s="6" t="str">
        <f t="shared" ca="1" si="12"/>
        <v>What new consumer needs, wants and expectations are created by the changes identified above? Where and how does this trend satisfy them?</v>
      </c>
      <c r="B434" s="7"/>
      <c r="C434" s="8" t="s">
        <v>1065</v>
      </c>
      <c r="D434" s="8" t="s">
        <v>1065</v>
      </c>
      <c r="E434" s="8" t="s">
        <v>1065</v>
      </c>
      <c r="F434" s="8" t="s">
        <v>1065</v>
      </c>
      <c r="G434" s="23" t="s">
        <v>17</v>
      </c>
      <c r="J434" s="9"/>
    </row>
    <row r="435" spans="1:26" x14ac:dyDescent="0.25">
      <c r="A435" s="6" t="str">
        <f t="shared" ca="1" si="12"/>
        <v>How are other businesses applying this trend?</v>
      </c>
      <c r="B435" s="7"/>
      <c r="C435" s="8" t="s">
        <v>1066</v>
      </c>
      <c r="D435" s="8" t="s">
        <v>1066</v>
      </c>
      <c r="E435" s="8" t="s">
        <v>1066</v>
      </c>
      <c r="F435" s="8" t="s">
        <v>1066</v>
      </c>
      <c r="G435" s="23" t="s">
        <v>17</v>
      </c>
      <c r="J435" s="9"/>
    </row>
    <row r="436" spans="1:26" ht="28.8" x14ac:dyDescent="0.25">
      <c r="A436" s="6" t="str">
        <f t="shared" ca="1" si="12"/>
        <v>How and where could you apply this trend to your business?</v>
      </c>
      <c r="B436" s="7"/>
      <c r="C436" s="8" t="s">
        <v>1067</v>
      </c>
      <c r="D436" s="8" t="s">
        <v>1067</v>
      </c>
      <c r="E436" s="8" t="s">
        <v>1067</v>
      </c>
      <c r="F436" s="8" t="s">
        <v>1067</v>
      </c>
      <c r="G436" s="23" t="s">
        <v>17</v>
      </c>
      <c r="J436" s="9"/>
    </row>
    <row r="437" spans="1:26" ht="28.8" x14ac:dyDescent="0.25">
      <c r="A437" s="6" t="str">
        <f t="shared" ca="1" si="12"/>
        <v>Which (new) customer groups could you apply this trend to? What would you have to change?</v>
      </c>
      <c r="B437" s="7"/>
      <c r="C437" s="8" t="s">
        <v>1068</v>
      </c>
      <c r="D437" s="8" t="s">
        <v>1068</v>
      </c>
      <c r="E437" s="8" t="s">
        <v>1068</v>
      </c>
      <c r="F437" s="8" t="s">
        <v>1068</v>
      </c>
      <c r="G437" s="23" t="s">
        <v>17</v>
      </c>
      <c r="J437" s="9"/>
    </row>
    <row r="438" spans="1:26" x14ac:dyDescent="0.25">
      <c r="A438" s="25" t="str">
        <f t="shared" ca="1" si="12"/>
        <v>Anz. &gt;= 3</v>
      </c>
      <c r="B438" s="7"/>
      <c r="C438" s="26" t="s">
        <v>1069</v>
      </c>
      <c r="D438" s="26" t="s">
        <v>1070</v>
      </c>
      <c r="E438" s="26" t="s">
        <v>1070</v>
      </c>
      <c r="F438" s="26" t="s">
        <v>1071</v>
      </c>
      <c r="G438" s="27" t="s">
        <v>17</v>
      </c>
      <c r="J438" s="9"/>
    </row>
    <row r="439" spans="1:26" s="19" customFormat="1" x14ac:dyDescent="0.25">
      <c r="A439" s="16" t="str">
        <f t="shared" ca="1" si="12"/>
        <v>K E R N K O M P E T E N Z E N</v>
      </c>
      <c r="B439" s="17"/>
      <c r="C439" s="16" t="s">
        <v>1807</v>
      </c>
      <c r="D439" s="16" t="s">
        <v>1808</v>
      </c>
      <c r="E439" s="16" t="s">
        <v>1810</v>
      </c>
      <c r="F439" s="16" t="s">
        <v>1809</v>
      </c>
      <c r="G439" s="18" t="s">
        <v>17</v>
      </c>
      <c r="H439" s="9"/>
      <c r="Z439" s="3"/>
    </row>
    <row r="440" spans="1:26" x14ac:dyDescent="0.25">
      <c r="A440" s="20" t="str">
        <f t="shared" ca="1" si="12"/>
        <v>Kern- kompetenzen</v>
      </c>
      <c r="B440" s="7"/>
      <c r="C440" s="28" t="s">
        <v>1469</v>
      </c>
      <c r="D440" s="28" t="s">
        <v>1470</v>
      </c>
      <c r="E440" s="28" t="s">
        <v>1471</v>
      </c>
      <c r="F440" s="28" t="s">
        <v>1472</v>
      </c>
      <c r="G440" s="22" t="s">
        <v>17</v>
      </c>
      <c r="J440" s="9"/>
    </row>
    <row r="441" spans="1:26" x14ac:dyDescent="0.25">
      <c r="A441" s="6" t="str">
        <f t="shared" ca="1" si="12"/>
        <v>Kernkompetenzen</v>
      </c>
      <c r="B441" s="7"/>
      <c r="C441" s="8" t="s">
        <v>1473</v>
      </c>
      <c r="D441" s="8" t="s">
        <v>1470</v>
      </c>
      <c r="E441" s="8" t="s">
        <v>1471</v>
      </c>
      <c r="F441" s="8" t="s">
        <v>1472</v>
      </c>
      <c r="G441" s="23" t="s">
        <v>17</v>
      </c>
      <c r="J441" s="9"/>
    </row>
    <row r="442" spans="1:26" x14ac:dyDescent="0.25">
      <c r="A442" s="6" t="str">
        <f t="shared" ca="1" si="12"/>
        <v>Ressourcen</v>
      </c>
      <c r="B442" s="7"/>
      <c r="C442" s="8" t="s">
        <v>1474</v>
      </c>
      <c r="D442" s="8" t="s">
        <v>1475</v>
      </c>
      <c r="E442" s="8" t="s">
        <v>1476</v>
      </c>
      <c r="F442" s="8" t="s">
        <v>1477</v>
      </c>
      <c r="G442" s="23" t="s">
        <v>17</v>
      </c>
      <c r="J442" s="9"/>
    </row>
    <row r="443" spans="1:26" x14ac:dyDescent="0.25">
      <c r="A443" s="6" t="str">
        <f t="shared" ca="1" si="12"/>
        <v>Fähigkeiten</v>
      </c>
      <c r="B443" s="7"/>
      <c r="C443" s="8" t="s">
        <v>1478</v>
      </c>
      <c r="D443" s="8" t="s">
        <v>1479</v>
      </c>
      <c r="E443" s="8" t="s">
        <v>1480</v>
      </c>
      <c r="F443" s="8" t="s">
        <v>1481</v>
      </c>
      <c r="G443" s="23" t="s">
        <v>17</v>
      </c>
      <c r="J443" s="9"/>
    </row>
    <row r="444" spans="1:26" x14ac:dyDescent="0.25">
      <c r="A444" s="6" t="str">
        <f t="shared" ca="1" si="12"/>
        <v>Strategische Wichtigkeit</v>
      </c>
      <c r="B444" s="7"/>
      <c r="C444" s="8" t="s">
        <v>1482</v>
      </c>
      <c r="D444" s="8" t="s">
        <v>1483</v>
      </c>
      <c r="E444" s="8" t="s">
        <v>1484</v>
      </c>
      <c r="F444" s="8" t="s">
        <v>1485</v>
      </c>
      <c r="G444" s="23" t="s">
        <v>17</v>
      </c>
      <c r="J444" s="9"/>
    </row>
    <row r="445" spans="1:26" ht="57.6" x14ac:dyDescent="0.25">
      <c r="A445" s="6" t="str">
        <f t="shared" ca="1" si="12"/>
        <v xml:space="preserve">
- Wertvoll für den Kunden
- Schwer substituierbar</v>
      </c>
      <c r="B445" s="7"/>
      <c r="C445" s="8" t="s">
        <v>1486</v>
      </c>
      <c r="D445" s="8" t="s">
        <v>1487</v>
      </c>
      <c r="E445" s="8" t="s">
        <v>1488</v>
      </c>
      <c r="F445" s="8" t="s">
        <v>1489</v>
      </c>
      <c r="G445" s="23" t="s">
        <v>17</v>
      </c>
      <c r="J445" s="9"/>
    </row>
    <row r="446" spans="1:26" x14ac:dyDescent="0.25">
      <c r="A446" s="6" t="str">
        <f t="shared" ca="1" si="12"/>
        <v>Nr.</v>
      </c>
      <c r="B446" s="7"/>
      <c r="C446" s="8" t="s">
        <v>28</v>
      </c>
      <c r="D446" s="8" t="s">
        <v>29</v>
      </c>
      <c r="E446" s="8" t="s">
        <v>29</v>
      </c>
      <c r="F446" s="8" t="s">
        <v>1083</v>
      </c>
      <c r="G446" s="23" t="s">
        <v>17</v>
      </c>
      <c r="J446" s="9"/>
    </row>
    <row r="447" spans="1:26" x14ac:dyDescent="0.25">
      <c r="A447" s="6" t="str">
        <f t="shared" ca="1" si="12"/>
        <v>Kernressourcen</v>
      </c>
      <c r="B447" s="7"/>
      <c r="C447" s="8" t="s">
        <v>1490</v>
      </c>
      <c r="D447" s="8" t="s">
        <v>1491</v>
      </c>
      <c r="E447" s="8" t="s">
        <v>1492</v>
      </c>
      <c r="F447" s="8" t="s">
        <v>1493</v>
      </c>
      <c r="G447" s="23" t="s">
        <v>17</v>
      </c>
      <c r="J447" s="9"/>
    </row>
    <row r="448" spans="1:26" x14ac:dyDescent="0.25">
      <c r="A448" s="6" t="str">
        <f t="shared" ca="1" si="12"/>
        <v>Hauptchancen</v>
      </c>
      <c r="B448" s="7"/>
      <c r="C448" s="8" t="s">
        <v>1494</v>
      </c>
      <c r="D448" s="8" t="s">
        <v>1495</v>
      </c>
      <c r="E448" s="8" t="s">
        <v>1496</v>
      </c>
      <c r="F448" s="8" t="s">
        <v>1497</v>
      </c>
      <c r="G448" s="23" t="s">
        <v>17</v>
      </c>
      <c r="J448" s="9"/>
    </row>
    <row r="449" spans="1:10" x14ac:dyDescent="0.25">
      <c r="A449" s="6" t="str">
        <f t="shared" ca="1" si="12"/>
        <v>Hauptgefahren</v>
      </c>
      <c r="B449" s="7"/>
      <c r="C449" s="8" t="s">
        <v>1498</v>
      </c>
      <c r="D449" s="8" t="s">
        <v>1499</v>
      </c>
      <c r="E449" s="8" t="s">
        <v>1500</v>
      </c>
      <c r="F449" s="8" t="s">
        <v>1501</v>
      </c>
      <c r="G449" s="23" t="s">
        <v>17</v>
      </c>
      <c r="J449" s="9"/>
    </row>
    <row r="450" spans="1:10" x14ac:dyDescent="0.25">
      <c r="A450" s="6" t="str">
        <f t="shared" ca="1" si="12"/>
        <v>Hauptstärken</v>
      </c>
      <c r="B450" s="7"/>
      <c r="C450" s="8" t="s">
        <v>698</v>
      </c>
      <c r="D450" s="8" t="s">
        <v>699</v>
      </c>
      <c r="E450" s="8" t="s">
        <v>1263</v>
      </c>
      <c r="F450" s="8" t="s">
        <v>1502</v>
      </c>
      <c r="G450" s="23" t="s">
        <v>17</v>
      </c>
      <c r="J450" s="9"/>
    </row>
    <row r="451" spans="1:10" x14ac:dyDescent="0.25">
      <c r="A451" s="6" t="str">
        <f t="shared" ca="1" si="12"/>
        <v>Hauptschwächen</v>
      </c>
      <c r="B451" s="7"/>
      <c r="C451" s="8" t="s">
        <v>700</v>
      </c>
      <c r="D451" s="8" t="s">
        <v>701</v>
      </c>
      <c r="E451" s="8" t="s">
        <v>1264</v>
      </c>
      <c r="F451" s="8" t="s">
        <v>1503</v>
      </c>
      <c r="G451" s="23" t="s">
        <v>17</v>
      </c>
      <c r="J451" s="9"/>
    </row>
    <row r="452" spans="1:10" x14ac:dyDescent="0.25">
      <c r="A452" s="6" t="str">
        <f t="shared" ca="1" si="12"/>
        <v>Kurz-, mittel, langfristig</v>
      </c>
      <c r="B452" s="7"/>
      <c r="C452" s="8" t="s">
        <v>1504</v>
      </c>
      <c r="D452" s="8" t="s">
        <v>1505</v>
      </c>
      <c r="E452" s="8" t="s">
        <v>1506</v>
      </c>
      <c r="F452" s="8" t="s">
        <v>1507</v>
      </c>
      <c r="G452" s="23" t="s">
        <v>17</v>
      </c>
      <c r="J452" s="9"/>
    </row>
    <row r="453" spans="1:10" x14ac:dyDescent="0.25">
      <c r="A453" s="6" t="str">
        <f t="shared" ca="1" si="12"/>
        <v>Mehrwert für Kunden</v>
      </c>
      <c r="B453" s="7"/>
      <c r="C453" s="8" t="s">
        <v>1508</v>
      </c>
      <c r="D453" s="8" t="s">
        <v>594</v>
      </c>
      <c r="E453" s="8" t="s">
        <v>1509</v>
      </c>
      <c r="F453" s="8" t="s">
        <v>1510</v>
      </c>
      <c r="G453" s="23" t="s">
        <v>17</v>
      </c>
      <c r="J453" s="9"/>
    </row>
    <row r="454" spans="1:10" x14ac:dyDescent="0.25">
      <c r="A454" s="6" t="str">
        <f t="shared" ca="1" si="12"/>
        <v>Schwer substituierbar</v>
      </c>
      <c r="B454" s="7"/>
      <c r="C454" s="8" t="s">
        <v>1511</v>
      </c>
      <c r="D454" s="8" t="s">
        <v>1512</v>
      </c>
      <c r="E454" s="8" t="s">
        <v>1513</v>
      </c>
      <c r="F454" s="8" t="s">
        <v>1514</v>
      </c>
      <c r="G454" s="23" t="s">
        <v>17</v>
      </c>
      <c r="J454" s="9"/>
    </row>
    <row r="455" spans="1:10" x14ac:dyDescent="0.25">
      <c r="A455" s="6" t="str">
        <f t="shared" ca="1" si="12"/>
        <v>Mögliche Massnahmen</v>
      </c>
      <c r="B455" s="7"/>
      <c r="C455" s="8" t="s">
        <v>30</v>
      </c>
      <c r="D455" s="8" t="s">
        <v>31</v>
      </c>
      <c r="E455" s="8" t="s">
        <v>1110</v>
      </c>
      <c r="F455" s="8" t="s">
        <v>1111</v>
      </c>
      <c r="G455" s="23" t="s">
        <v>17</v>
      </c>
      <c r="J455" s="9"/>
    </row>
    <row r="456" spans="1:10" x14ac:dyDescent="0.25">
      <c r="A456" s="6" t="str">
        <f t="shared" ca="1" si="12"/>
        <v>Status</v>
      </c>
      <c r="B456" s="7"/>
      <c r="C456" s="8" t="s">
        <v>32</v>
      </c>
      <c r="D456" s="8" t="s">
        <v>33</v>
      </c>
      <c r="E456" s="8" t="s">
        <v>32</v>
      </c>
      <c r="F456" s="8" t="s">
        <v>1112</v>
      </c>
      <c r="G456" s="23" t="s">
        <v>17</v>
      </c>
      <c r="J456" s="9"/>
    </row>
    <row r="457" spans="1:10" x14ac:dyDescent="0.25">
      <c r="A457" s="6" t="str">
        <f t="shared" ca="1" si="12"/>
        <v>sehr</v>
      </c>
      <c r="B457" s="7"/>
      <c r="C457" s="8" t="s">
        <v>1515</v>
      </c>
      <c r="D457" s="8" t="s">
        <v>1516</v>
      </c>
      <c r="E457" s="8" t="s">
        <v>1517</v>
      </c>
      <c r="F457" s="8" t="s">
        <v>1344</v>
      </c>
      <c r="G457" s="23" t="s">
        <v>17</v>
      </c>
      <c r="J457" s="9"/>
    </row>
    <row r="458" spans="1:10" x14ac:dyDescent="0.25">
      <c r="A458" s="6" t="str">
        <f t="shared" ca="1" si="12"/>
        <v>wenig</v>
      </c>
      <c r="B458" s="7"/>
      <c r="C458" s="8" t="s">
        <v>1518</v>
      </c>
      <c r="D458" s="8" t="s">
        <v>1519</v>
      </c>
      <c r="E458" s="8" t="s">
        <v>1520</v>
      </c>
      <c r="F458" s="8" t="s">
        <v>1348</v>
      </c>
      <c r="G458" s="23" t="s">
        <v>17</v>
      </c>
      <c r="J458" s="9"/>
    </row>
    <row r="459" spans="1:10" x14ac:dyDescent="0.25">
      <c r="A459" s="6" t="str">
        <f t="shared" ca="1" si="12"/>
        <v>hoch</v>
      </c>
      <c r="B459" s="7"/>
      <c r="C459" s="8" t="s">
        <v>26</v>
      </c>
      <c r="D459" s="8" t="s">
        <v>714</v>
      </c>
      <c r="E459" s="8" t="s">
        <v>1091</v>
      </c>
      <c r="F459" s="8" t="s">
        <v>1344</v>
      </c>
      <c r="G459" s="23" t="s">
        <v>17</v>
      </c>
      <c r="J459" s="9"/>
    </row>
    <row r="460" spans="1:10" x14ac:dyDescent="0.25">
      <c r="A460" s="6" t="str">
        <f t="shared" ca="1" si="12"/>
        <v>gross</v>
      </c>
      <c r="B460" s="7"/>
      <c r="C460" s="8" t="s">
        <v>715</v>
      </c>
      <c r="D460" s="8" t="s">
        <v>716</v>
      </c>
      <c r="E460" s="8" t="s">
        <v>1345</v>
      </c>
      <c r="F460" s="8" t="s">
        <v>714</v>
      </c>
      <c r="G460" s="23" t="s">
        <v>17</v>
      </c>
      <c r="J460" s="9"/>
    </row>
    <row r="461" spans="1:10" x14ac:dyDescent="0.25">
      <c r="A461" s="6" t="str">
        <f t="shared" ca="1" si="12"/>
        <v>Einfluss der Stakeholder</v>
      </c>
      <c r="B461" s="7"/>
      <c r="C461" s="8" t="s">
        <v>717</v>
      </c>
      <c r="D461" s="8" t="s">
        <v>718</v>
      </c>
      <c r="E461" s="8" t="s">
        <v>1346</v>
      </c>
      <c r="F461" s="8" t="s">
        <v>1347</v>
      </c>
      <c r="G461" s="23" t="s">
        <v>17</v>
      </c>
      <c r="J461" s="9"/>
    </row>
    <row r="462" spans="1:10" x14ac:dyDescent="0.25">
      <c r="A462" s="6" t="str">
        <f t="shared" ca="1" si="12"/>
        <v>gering</v>
      </c>
      <c r="B462" s="7"/>
      <c r="C462" s="8" t="s">
        <v>27</v>
      </c>
      <c r="D462" s="8" t="s">
        <v>719</v>
      </c>
      <c r="E462" s="8" t="s">
        <v>1095</v>
      </c>
      <c r="F462" s="8" t="s">
        <v>1348</v>
      </c>
      <c r="G462" s="23" t="s">
        <v>17</v>
      </c>
      <c r="J462" s="9"/>
    </row>
    <row r="463" spans="1:10" x14ac:dyDescent="0.25">
      <c r="A463" s="25" t="str">
        <f t="shared" ca="1" si="12"/>
        <v>klein</v>
      </c>
      <c r="B463" s="7"/>
      <c r="C463" s="26" t="s">
        <v>720</v>
      </c>
      <c r="D463" s="26" t="s">
        <v>721</v>
      </c>
      <c r="E463" s="26" t="s">
        <v>1349</v>
      </c>
      <c r="F463" s="26" t="s">
        <v>1350</v>
      </c>
      <c r="G463" s="27" t="s">
        <v>17</v>
      </c>
      <c r="J463" s="9"/>
    </row>
    <row r="464" spans="1:10" x14ac:dyDescent="0.25">
      <c r="A464" s="16" t="str">
        <f t="shared" ca="1" si="12"/>
        <v>Leadership</v>
      </c>
      <c r="B464" s="31"/>
      <c r="C464" s="16" t="s">
        <v>1442</v>
      </c>
      <c r="D464" s="16" t="s">
        <v>1442</v>
      </c>
      <c r="E464" s="16" t="s">
        <v>1442</v>
      </c>
      <c r="F464" s="16"/>
      <c r="G464" s="18" t="s">
        <v>17</v>
      </c>
      <c r="J464" s="9"/>
    </row>
    <row r="465" spans="1:10" x14ac:dyDescent="0.25">
      <c r="A465" s="20" t="str">
        <f t="shared" ca="1" si="12"/>
        <v>Leadership</v>
      </c>
      <c r="B465" s="7"/>
      <c r="C465" s="28" t="s">
        <v>1442</v>
      </c>
      <c r="D465" s="28" t="s">
        <v>1442</v>
      </c>
      <c r="E465" s="28" t="s">
        <v>1442</v>
      </c>
      <c r="F465" s="28"/>
      <c r="G465" s="22" t="s">
        <v>17</v>
      </c>
      <c r="J465" s="9"/>
    </row>
    <row r="466" spans="1:10" x14ac:dyDescent="0.25">
      <c r="A466" s="6" t="str">
        <f t="shared" ca="1" si="12"/>
        <v>Direktion</v>
      </c>
      <c r="B466" s="7"/>
      <c r="C466" s="8" t="s">
        <v>1535</v>
      </c>
      <c r="D466" s="8" t="s">
        <v>1536</v>
      </c>
      <c r="E466" s="8" t="s">
        <v>1078</v>
      </c>
      <c r="F466" s="8"/>
      <c r="G466" s="23" t="s">
        <v>17</v>
      </c>
      <c r="J466" s="9"/>
    </row>
    <row r="467" spans="1:10" x14ac:dyDescent="0.25">
      <c r="A467" s="6" t="str">
        <f t="shared" ca="1" si="12"/>
        <v>Projektleiter</v>
      </c>
      <c r="B467" s="7"/>
      <c r="C467" s="8" t="s">
        <v>1537</v>
      </c>
      <c r="D467" s="8" t="s">
        <v>1538</v>
      </c>
      <c r="E467" s="8" t="s">
        <v>1539</v>
      </c>
      <c r="F467" s="8"/>
      <c r="G467" s="23" t="s">
        <v>17</v>
      </c>
      <c r="J467" s="9"/>
    </row>
    <row r="468" spans="1:10" x14ac:dyDescent="0.25">
      <c r="A468" s="6" t="str">
        <f t="shared" ca="1" si="12"/>
        <v>Koordinator Cockpit</v>
      </c>
      <c r="B468" s="7"/>
      <c r="C468" s="8" t="s">
        <v>1540</v>
      </c>
      <c r="D468" s="8" t="s">
        <v>1541</v>
      </c>
      <c r="E468" s="8" t="s">
        <v>1542</v>
      </c>
      <c r="F468" s="8"/>
      <c r="G468" s="23" t="s">
        <v>17</v>
      </c>
      <c r="J468" s="9"/>
    </row>
    <row r="469" spans="1:10" x14ac:dyDescent="0.25">
      <c r="A469" s="6" t="str">
        <f t="shared" ca="1" si="12"/>
        <v>Zuständige Personen</v>
      </c>
      <c r="B469" s="7"/>
      <c r="C469" s="8" t="s">
        <v>1543</v>
      </c>
      <c r="D469" s="8" t="s">
        <v>1544</v>
      </c>
      <c r="E469" s="8" t="s">
        <v>1545</v>
      </c>
      <c r="F469" s="8"/>
      <c r="G469" s="23" t="s">
        <v>17</v>
      </c>
      <c r="J469" s="9"/>
    </row>
    <row r="470" spans="1:10" x14ac:dyDescent="0.25">
      <c r="A470" s="6" t="str">
        <f t="shared" ca="1" si="12"/>
        <v>Strategie-klausur</v>
      </c>
      <c r="B470" s="7"/>
      <c r="C470" s="8" t="s">
        <v>1546</v>
      </c>
      <c r="D470" s="8" t="s">
        <v>1547</v>
      </c>
      <c r="E470" s="8" t="s">
        <v>1548</v>
      </c>
      <c r="F470" s="8"/>
      <c r="G470" s="23" t="s">
        <v>17</v>
      </c>
      <c r="J470" s="9"/>
    </row>
    <row r="471" spans="1:10" x14ac:dyDescent="0.25">
      <c r="A471" s="6" t="str">
        <f t="shared" ca="1" si="12"/>
        <v>1-2 x pro Jahr</v>
      </c>
      <c r="B471" s="7"/>
      <c r="C471" s="8" t="s">
        <v>1549</v>
      </c>
      <c r="D471" s="8" t="s">
        <v>1550</v>
      </c>
      <c r="E471" s="8" t="s">
        <v>1551</v>
      </c>
      <c r="F471" s="8"/>
      <c r="G471" s="23" t="s">
        <v>17</v>
      </c>
      <c r="J471" s="9"/>
    </row>
    <row r="472" spans="1:10" x14ac:dyDescent="0.25">
      <c r="A472" s="6" t="str">
        <f t="shared" ca="1" si="12"/>
        <v>Vision &amp; Strategien?</v>
      </c>
      <c r="B472" s="7"/>
      <c r="C472" s="8" t="s">
        <v>1552</v>
      </c>
      <c r="D472" s="8" t="s">
        <v>1553</v>
      </c>
      <c r="E472" s="8" t="s">
        <v>1554</v>
      </c>
      <c r="F472" s="8"/>
      <c r="G472" s="23" t="s">
        <v>17</v>
      </c>
      <c r="J472" s="9"/>
    </row>
    <row r="473" spans="1:10" x14ac:dyDescent="0.25">
      <c r="A473" s="6" t="str">
        <f t="shared" ca="1" si="12"/>
        <v>Q-Cockpit ok?</v>
      </c>
      <c r="B473" s="7"/>
      <c r="C473" s="8" t="s">
        <v>1555</v>
      </c>
      <c r="D473" s="8" t="s">
        <v>1556</v>
      </c>
      <c r="E473" s="8" t="s">
        <v>1557</v>
      </c>
      <c r="F473" s="8"/>
      <c r="G473" s="23" t="s">
        <v>17</v>
      </c>
      <c r="J473" s="9"/>
    </row>
    <row r="474" spans="1:10" x14ac:dyDescent="0.25">
      <c r="A474" s="6" t="str">
        <f t="shared" ca="1" si="12"/>
        <v xml:space="preserve">Management Review </v>
      </c>
      <c r="B474" s="7"/>
      <c r="C474" s="8" t="s">
        <v>1558</v>
      </c>
      <c r="D474" s="8" t="s">
        <v>1559</v>
      </c>
      <c r="E474" s="8" t="s">
        <v>1560</v>
      </c>
      <c r="F474" s="8"/>
      <c r="G474" s="23" t="s">
        <v>17</v>
      </c>
      <c r="J474" s="9"/>
    </row>
    <row r="475" spans="1:10" ht="28.8" x14ac:dyDescent="0.25">
      <c r="A475" s="6" t="str">
        <f t="shared" ca="1" si="12"/>
        <v>Cockpit ok?</v>
      </c>
      <c r="B475" s="7"/>
      <c r="C475" s="8" t="s">
        <v>1561</v>
      </c>
      <c r="D475" s="8" t="s">
        <v>1562</v>
      </c>
      <c r="E475" s="8" t="s">
        <v>1563</v>
      </c>
      <c r="F475" s="8"/>
      <c r="G475" s="23" t="s">
        <v>17</v>
      </c>
      <c r="J475" s="9"/>
    </row>
    <row r="476" spans="1:10" x14ac:dyDescent="0.25">
      <c r="A476" s="6" t="str">
        <f t="shared" ca="1" si="12"/>
        <v>Projektaufträge vergeben</v>
      </c>
      <c r="B476" s="7"/>
      <c r="C476" s="8" t="s">
        <v>1564</v>
      </c>
      <c r="D476" s="8" t="s">
        <v>1565</v>
      </c>
      <c r="E476" s="8" t="s">
        <v>1566</v>
      </c>
      <c r="F476" s="8"/>
      <c r="G476" s="23" t="s">
        <v>17</v>
      </c>
      <c r="J476" s="9"/>
    </row>
    <row r="477" spans="1:10" x14ac:dyDescent="0.25">
      <c r="A477" s="6" t="str">
        <f t="shared" ca="1" si="12"/>
        <v>Direktions-sitzung</v>
      </c>
      <c r="B477" s="7"/>
      <c r="C477" s="8" t="s">
        <v>1567</v>
      </c>
      <c r="D477" s="8" t="s">
        <v>1568</v>
      </c>
      <c r="E477" s="8" t="s">
        <v>1569</v>
      </c>
      <c r="F477" s="8"/>
      <c r="G477" s="23" t="s">
        <v>17</v>
      </c>
      <c r="J477" s="9"/>
    </row>
    <row r="478" spans="1:10" ht="28.8" x14ac:dyDescent="0.25">
      <c r="A478" s="6" t="str">
        <f t="shared" ca="1" si="12"/>
        <v>Projekte ok?</v>
      </c>
      <c r="B478" s="7"/>
      <c r="C478" s="8" t="s">
        <v>1570</v>
      </c>
      <c r="D478" s="8" t="s">
        <v>1571</v>
      </c>
      <c r="E478" s="8" t="s">
        <v>1572</v>
      </c>
      <c r="F478" s="8"/>
      <c r="G478" s="23" t="s">
        <v>17</v>
      </c>
      <c r="J478" s="9"/>
    </row>
    <row r="479" spans="1:10" x14ac:dyDescent="0.25">
      <c r="A479" s="6" t="str">
        <f t="shared" ca="1" si="12"/>
        <v>6 - 12 x pro Jahr</v>
      </c>
      <c r="B479" s="7"/>
      <c r="C479" s="8" t="s">
        <v>1845</v>
      </c>
      <c r="D479" s="8" t="s">
        <v>1846</v>
      </c>
      <c r="E479" s="8" t="s">
        <v>1847</v>
      </c>
      <c r="F479" s="8"/>
      <c r="G479" s="23" t="s">
        <v>17</v>
      </c>
      <c r="J479" s="9"/>
    </row>
    <row r="480" spans="1:10" x14ac:dyDescent="0.25">
      <c r="A480" s="6" t="str">
        <f t="shared" ca="1" si="12"/>
        <v>Projekte aktualisieren</v>
      </c>
      <c r="B480" s="7"/>
      <c r="C480" s="8" t="s">
        <v>1573</v>
      </c>
      <c r="D480" s="8" t="s">
        <v>1574</v>
      </c>
      <c r="E480" s="8" t="s">
        <v>1575</v>
      </c>
      <c r="F480" s="8"/>
      <c r="G480" s="23" t="s">
        <v>17</v>
      </c>
      <c r="J480" s="9"/>
    </row>
    <row r="481" spans="1:10" x14ac:dyDescent="0.25">
      <c r="A481" s="6" t="str">
        <f t="shared" ca="1" si="12"/>
        <v>Projekt leiten</v>
      </c>
      <c r="B481" s="7"/>
      <c r="C481" s="8" t="s">
        <v>1576</v>
      </c>
      <c r="D481" s="8" t="s">
        <v>1577</v>
      </c>
      <c r="E481" s="8" t="s">
        <v>1578</v>
      </c>
      <c r="F481" s="8"/>
      <c r="G481" s="23" t="s">
        <v>17</v>
      </c>
      <c r="J481" s="9"/>
    </row>
    <row r="482" spans="1:10" x14ac:dyDescent="0.25">
      <c r="A482" s="6" t="str">
        <f t="shared" ca="1" si="12"/>
        <v>Korrektur-massnahmen</v>
      </c>
      <c r="B482" s="7"/>
      <c r="C482" s="8" t="s">
        <v>1579</v>
      </c>
      <c r="D482" s="8" t="s">
        <v>1580</v>
      </c>
      <c r="E482" s="8" t="s">
        <v>1581</v>
      </c>
      <c r="F482" s="8"/>
      <c r="G482" s="23" t="s">
        <v>17</v>
      </c>
      <c r="J482" s="9"/>
    </row>
    <row r="483" spans="1:10" x14ac:dyDescent="0.25">
      <c r="A483" s="6" t="str">
        <f t="shared" ca="1" si="12"/>
        <v>Projektauftrag aktualisieren</v>
      </c>
      <c r="B483" s="7"/>
      <c r="C483" s="8" t="s">
        <v>1582</v>
      </c>
      <c r="D483" s="8" t="s">
        <v>1583</v>
      </c>
      <c r="E483" s="8" t="s">
        <v>1584</v>
      </c>
      <c r="F483" s="8"/>
      <c r="G483" s="23" t="s">
        <v>17</v>
      </c>
      <c r="J483" s="9"/>
    </row>
    <row r="484" spans="1:10" x14ac:dyDescent="0.25">
      <c r="A484" s="6" t="str">
        <f t="shared" ca="1" si="12"/>
        <v>Erinnerungsmail</v>
      </c>
      <c r="B484" s="7"/>
      <c r="C484" s="8" t="s">
        <v>1585</v>
      </c>
      <c r="D484" s="8" t="s">
        <v>1586</v>
      </c>
      <c r="E484" s="8" t="s">
        <v>1587</v>
      </c>
      <c r="F484" s="8"/>
      <c r="G484" s="23" t="s">
        <v>17</v>
      </c>
      <c r="J484" s="9"/>
    </row>
    <row r="485" spans="1:10" x14ac:dyDescent="0.25">
      <c r="A485" s="6" t="str">
        <f t="shared" ca="1" si="12"/>
        <v>Projekte aktuell?</v>
      </c>
      <c r="B485" s="7"/>
      <c r="C485" s="8" t="s">
        <v>1588</v>
      </c>
      <c r="D485" s="8" t="s">
        <v>1589</v>
      </c>
      <c r="E485" s="8" t="s">
        <v>1590</v>
      </c>
      <c r="F485" s="8"/>
      <c r="G485" s="23" t="s">
        <v>17</v>
      </c>
      <c r="J485" s="9"/>
    </row>
    <row r="486" spans="1:10" x14ac:dyDescent="0.25">
      <c r="A486" s="6" t="str">
        <f t="shared" ca="1" si="12"/>
        <v>Projekt_?.exe</v>
      </c>
      <c r="B486" s="7"/>
      <c r="C486" s="8" t="s">
        <v>1591</v>
      </c>
      <c r="D486" s="8" t="s">
        <v>1592</v>
      </c>
      <c r="E486" s="8" t="s">
        <v>1593</v>
      </c>
      <c r="F486" s="8"/>
      <c r="G486" s="23" t="s">
        <v>17</v>
      </c>
      <c r="J486" s="9"/>
    </row>
    <row r="487" spans="1:10" x14ac:dyDescent="0.25">
      <c r="A487" s="6" t="str">
        <f t="shared" ca="1" si="12"/>
        <v>aktualisieren</v>
      </c>
      <c r="B487" s="7"/>
      <c r="C487" s="8" t="s">
        <v>1594</v>
      </c>
      <c r="D487" s="8" t="s">
        <v>1595</v>
      </c>
      <c r="E487" s="8" t="s">
        <v>1596</v>
      </c>
      <c r="F487" s="8"/>
      <c r="G487" s="23" t="s">
        <v>17</v>
      </c>
      <c r="J487" s="9"/>
    </row>
    <row r="488" spans="1:10" x14ac:dyDescent="0.25">
      <c r="A488" s="6" t="str">
        <f t="shared" ca="1" si="12"/>
        <v>Cockpit aktualisieren</v>
      </c>
      <c r="B488" s="7"/>
      <c r="C488" s="8" t="s">
        <v>1597</v>
      </c>
      <c r="D488" s="8" t="s">
        <v>1598</v>
      </c>
      <c r="E488" s="8" t="s">
        <v>1599</v>
      </c>
      <c r="F488" s="8"/>
      <c r="G488" s="23" t="s">
        <v>17</v>
      </c>
      <c r="J488" s="9"/>
    </row>
    <row r="489" spans="1:10" x14ac:dyDescent="0.25">
      <c r="A489" s="6" t="str">
        <f t="shared" ca="1" si="12"/>
        <v>Projekt-management</v>
      </c>
      <c r="B489" s="7"/>
      <c r="C489" s="8" t="s">
        <v>1600</v>
      </c>
      <c r="D489" s="8" t="s">
        <v>1601</v>
      </c>
      <c r="E489" s="8" t="s">
        <v>1602</v>
      </c>
      <c r="F489" s="8"/>
      <c r="G489" s="23" t="s">
        <v>17</v>
      </c>
      <c r="J489" s="9"/>
    </row>
    <row r="490" spans="1:10" x14ac:dyDescent="0.25">
      <c r="A490" s="6" t="str">
        <f t="shared" ref="A490:A553" ca="1" si="13">OFFSET($C490,0,$Z$5-1)</f>
        <v>Bemerkungen</v>
      </c>
      <c r="B490" s="7"/>
      <c r="C490" s="8" t="s">
        <v>43</v>
      </c>
      <c r="D490" s="8" t="s">
        <v>44</v>
      </c>
      <c r="E490" s="8" t="s">
        <v>1084</v>
      </c>
      <c r="F490" s="8"/>
      <c r="G490" s="23" t="s">
        <v>17</v>
      </c>
      <c r="J490" s="9"/>
    </row>
    <row r="491" spans="1:10" x14ac:dyDescent="0.25">
      <c r="A491" s="6" t="str">
        <f t="shared" ca="1" si="13"/>
        <v>Traktanden Strategieklausur</v>
      </c>
      <c r="B491" s="7"/>
      <c r="C491" s="8" t="s">
        <v>1603</v>
      </c>
      <c r="D491" s="8" t="s">
        <v>1604</v>
      </c>
      <c r="E491" s="8" t="s">
        <v>1605</v>
      </c>
      <c r="F491" s="8"/>
      <c r="G491" s="23" t="s">
        <v>17</v>
      </c>
      <c r="J491" s="9"/>
    </row>
    <row r="492" spans="1:10" x14ac:dyDescent="0.25">
      <c r="A492" s="6" t="str">
        <f t="shared" ca="1" si="13"/>
        <v>Traktanden Management Review</v>
      </c>
      <c r="B492" s="7"/>
      <c r="C492" s="8" t="s">
        <v>1606</v>
      </c>
      <c r="D492" s="8" t="s">
        <v>1607</v>
      </c>
      <c r="E492" s="8" t="s">
        <v>1608</v>
      </c>
      <c r="F492" s="8"/>
      <c r="G492" s="23" t="s">
        <v>17</v>
      </c>
      <c r="J492" s="9"/>
    </row>
    <row r="493" spans="1:10" x14ac:dyDescent="0.25">
      <c r="A493" s="6" t="str">
        <f t="shared" ca="1" si="13"/>
        <v>P2 Strategie-tagung</v>
      </c>
      <c r="B493" s="7"/>
      <c r="C493" s="8" t="s">
        <v>1609</v>
      </c>
      <c r="D493" s="8" t="s">
        <v>1610</v>
      </c>
      <c r="E493" s="8" t="s">
        <v>1611</v>
      </c>
      <c r="F493" s="8"/>
      <c r="G493" s="23" t="s">
        <v>17</v>
      </c>
      <c r="J493" s="9"/>
    </row>
    <row r="494" spans="1:10" x14ac:dyDescent="0.25">
      <c r="A494" s="6" t="str">
        <f t="shared" ca="1" si="13"/>
        <v>P3 Mgmt.  Review</v>
      </c>
      <c r="B494" s="7"/>
      <c r="C494" s="8" t="s">
        <v>1612</v>
      </c>
      <c r="D494" s="8" t="s">
        <v>1613</v>
      </c>
      <c r="E494" s="8" t="s">
        <v>1614</v>
      </c>
      <c r="F494" s="8"/>
      <c r="G494" s="23" t="s">
        <v>17</v>
      </c>
      <c r="J494" s="9"/>
    </row>
    <row r="495" spans="1:10" x14ac:dyDescent="0.25">
      <c r="A495" s="6" t="str">
        <f t="shared" ca="1" si="13"/>
        <v>P4 Direktions-sitzung</v>
      </c>
      <c r="B495" s="7"/>
      <c r="C495" s="8" t="s">
        <v>1615</v>
      </c>
      <c r="D495" s="8" t="s">
        <v>1616</v>
      </c>
      <c r="E495" s="8" t="s">
        <v>1617</v>
      </c>
      <c r="F495" s="8"/>
      <c r="G495" s="23" t="s">
        <v>17</v>
      </c>
      <c r="J495" s="9"/>
    </row>
    <row r="496" spans="1:10" x14ac:dyDescent="0.25">
      <c r="A496" s="6" t="str">
        <f t="shared" ca="1" si="13"/>
        <v>Traktanden Direktionssitzung</v>
      </c>
      <c r="B496" s="7"/>
      <c r="C496" s="8" t="s">
        <v>1618</v>
      </c>
      <c r="D496" s="8" t="s">
        <v>1619</v>
      </c>
      <c r="E496" s="8" t="s">
        <v>1620</v>
      </c>
      <c r="F496" s="8"/>
      <c r="G496" s="23" t="s">
        <v>17</v>
      </c>
      <c r="J496" s="9"/>
    </row>
    <row r="497" spans="1:10" x14ac:dyDescent="0.25">
      <c r="A497" s="6" t="str">
        <f t="shared" ca="1" si="13"/>
        <v>Nr.</v>
      </c>
      <c r="B497" s="7"/>
      <c r="C497" s="8" t="s">
        <v>28</v>
      </c>
      <c r="D497" s="8" t="s">
        <v>29</v>
      </c>
      <c r="E497" s="8" t="s">
        <v>29</v>
      </c>
      <c r="F497" s="8"/>
      <c r="G497" s="23" t="s">
        <v>17</v>
      </c>
      <c r="J497" s="9"/>
    </row>
    <row r="498" spans="1:10" x14ac:dyDescent="0.25">
      <c r="A498" s="6" t="str">
        <f t="shared" ca="1" si="13"/>
        <v>Q-Cockpit aktualisieren</v>
      </c>
      <c r="B498" s="7"/>
      <c r="C498" s="8" t="s">
        <v>1621</v>
      </c>
      <c r="D498" s="8" t="s">
        <v>1622</v>
      </c>
      <c r="E498" s="8" t="s">
        <v>1623</v>
      </c>
      <c r="F498" s="8"/>
      <c r="G498" s="23" t="s">
        <v>17</v>
      </c>
      <c r="J498" s="9"/>
    </row>
    <row r="499" spans="1:10" x14ac:dyDescent="0.25">
      <c r="A499" s="6" t="str">
        <f t="shared" ca="1" si="13"/>
        <v>Bilanz QM</v>
      </c>
      <c r="B499" s="7"/>
      <c r="C499" s="8" t="s">
        <v>1624</v>
      </c>
      <c r="D499" s="8" t="s">
        <v>1625</v>
      </c>
      <c r="E499" s="8" t="s">
        <v>1626</v>
      </c>
      <c r="F499" s="8"/>
      <c r="G499" s="23" t="s">
        <v>17</v>
      </c>
      <c r="J499" s="9"/>
    </row>
    <row r="500" spans="1:10" x14ac:dyDescent="0.25">
      <c r="A500" s="6" t="str">
        <f t="shared" ca="1" si="13"/>
        <v>Input "Management Review"</v>
      </c>
      <c r="B500" s="7"/>
      <c r="C500" s="8" t="s">
        <v>1627</v>
      </c>
      <c r="D500" s="8" t="s">
        <v>1628</v>
      </c>
      <c r="E500" s="8" t="s">
        <v>1627</v>
      </c>
      <c r="F500" s="8"/>
      <c r="G500" s="23" t="s">
        <v>17</v>
      </c>
      <c r="J500" s="9"/>
    </row>
    <row r="501" spans="1:10" x14ac:dyDescent="0.25">
      <c r="A501" s="6" t="str">
        <f t="shared" ca="1" si="13"/>
        <v>Massnahmenplan</v>
      </c>
      <c r="B501" s="7"/>
      <c r="C501" s="8" t="s">
        <v>1629</v>
      </c>
      <c r="D501" s="8" t="s">
        <v>1630</v>
      </c>
      <c r="E501" s="8" t="s">
        <v>1631</v>
      </c>
      <c r="F501" s="8"/>
      <c r="G501" s="23" t="s">
        <v>17</v>
      </c>
      <c r="J501" s="9"/>
    </row>
    <row r="502" spans="1:10" x14ac:dyDescent="0.25">
      <c r="A502" s="6" t="str">
        <f t="shared" ca="1" si="13"/>
        <v>BSC</v>
      </c>
      <c r="B502" s="7"/>
      <c r="C502" s="8" t="s">
        <v>1632</v>
      </c>
      <c r="D502" s="8" t="s">
        <v>1632</v>
      </c>
      <c r="E502" s="8" t="s">
        <v>1632</v>
      </c>
      <c r="F502" s="8"/>
      <c r="G502" s="23" t="s">
        <v>17</v>
      </c>
      <c r="J502" s="9"/>
    </row>
    <row r="503" spans="1:10" x14ac:dyDescent="0.25">
      <c r="A503" s="6" t="str">
        <f t="shared" ca="1" si="13"/>
        <v>Projektaufträge</v>
      </c>
      <c r="B503" s="7"/>
      <c r="C503" s="8" t="s">
        <v>1633</v>
      </c>
      <c r="D503" s="8" t="s">
        <v>1634</v>
      </c>
      <c r="E503" s="8" t="s">
        <v>1635</v>
      </c>
      <c r="F503" s="8"/>
      <c r="G503" s="23" t="s">
        <v>17</v>
      </c>
      <c r="J503" s="9"/>
    </row>
    <row r="504" spans="1:10" x14ac:dyDescent="0.25">
      <c r="A504" s="6" t="str">
        <f t="shared" ca="1" si="13"/>
        <v>Aufträge</v>
      </c>
      <c r="B504" s="7"/>
      <c r="C504" s="8" t="s">
        <v>1636</v>
      </c>
      <c r="D504" s="8" t="s">
        <v>1637</v>
      </c>
      <c r="E504" s="8" t="s">
        <v>1638</v>
      </c>
      <c r="F504" s="8"/>
      <c r="G504" s="23" t="s">
        <v>17</v>
      </c>
      <c r="J504" s="9"/>
    </row>
    <row r="505" spans="1:10" x14ac:dyDescent="0.25">
      <c r="A505" s="6" t="str">
        <f t="shared" ca="1" si="13"/>
        <v>2 Wochen vor Sitzung</v>
      </c>
      <c r="B505" s="7"/>
      <c r="C505" s="8" t="s">
        <v>1639</v>
      </c>
      <c r="D505" s="8" t="s">
        <v>1640</v>
      </c>
      <c r="E505" s="8" t="s">
        <v>1641</v>
      </c>
      <c r="F505" s="8"/>
      <c r="G505" s="23" t="s">
        <v>17</v>
      </c>
      <c r="J505" s="9"/>
    </row>
    <row r="506" spans="1:10" x14ac:dyDescent="0.25">
      <c r="A506" s="6" t="str">
        <f t="shared" ca="1" si="13"/>
        <v>Q-Ziele</v>
      </c>
      <c r="B506" s="7"/>
      <c r="C506" s="8" t="s">
        <v>1642</v>
      </c>
      <c r="D506" s="8" t="s">
        <v>1643</v>
      </c>
      <c r="E506" s="8" t="s">
        <v>1644</v>
      </c>
      <c r="F506" s="8"/>
      <c r="G506" s="23" t="s">
        <v>17</v>
      </c>
      <c r="J506" s="9"/>
    </row>
    <row r="507" spans="1:10" x14ac:dyDescent="0.25">
      <c r="A507" s="6" t="str">
        <f t="shared" ca="1" si="13"/>
        <v>Q-Strategien</v>
      </c>
      <c r="B507" s="7"/>
      <c r="C507" s="8" t="s">
        <v>1645</v>
      </c>
      <c r="D507" s="8" t="s">
        <v>1646</v>
      </c>
      <c r="E507" s="8" t="s">
        <v>1647</v>
      </c>
      <c r="F507" s="8"/>
      <c r="G507" s="23" t="s">
        <v>17</v>
      </c>
      <c r="J507" s="9"/>
    </row>
    <row r="508" spans="1:10" x14ac:dyDescent="0.25">
      <c r="A508" s="6" t="str">
        <f t="shared" ca="1" si="13"/>
        <v>Q-Projekte</v>
      </c>
      <c r="B508" s="7"/>
      <c r="C508" s="8" t="s">
        <v>1648</v>
      </c>
      <c r="D508" s="8" t="s">
        <v>1649</v>
      </c>
      <c r="E508" s="8" t="s">
        <v>1650</v>
      </c>
      <c r="F508" s="8"/>
      <c r="G508" s="23" t="s">
        <v>17</v>
      </c>
      <c r="J508" s="9"/>
    </row>
    <row r="509" spans="1:10" x14ac:dyDescent="0.25">
      <c r="A509" s="6" t="str">
        <f t="shared" ca="1" si="13"/>
        <v>Führung des Unternehmens</v>
      </c>
      <c r="B509" s="7"/>
      <c r="C509" s="8" t="s">
        <v>1801</v>
      </c>
      <c r="D509" s="8" t="s">
        <v>1802</v>
      </c>
      <c r="E509" s="8" t="s">
        <v>1803</v>
      </c>
      <c r="F509" s="8"/>
      <c r="G509" s="23" t="s">
        <v>17</v>
      </c>
      <c r="J509" s="9"/>
    </row>
    <row r="510" spans="1:10" x14ac:dyDescent="0.25">
      <c r="A510" s="6" t="str">
        <f t="shared" ca="1" si="13"/>
        <v>Q-Ziele ok?</v>
      </c>
      <c r="B510" s="7"/>
      <c r="C510" s="8" t="s">
        <v>1651</v>
      </c>
      <c r="D510" s="8" t="s">
        <v>1652</v>
      </c>
      <c r="E510" s="8" t="s">
        <v>1653</v>
      </c>
      <c r="F510" s="8"/>
      <c r="G510" s="23" t="s">
        <v>17</v>
      </c>
      <c r="J510" s="9"/>
    </row>
    <row r="511" spans="1:10" x14ac:dyDescent="0.25">
      <c r="A511" s="6" t="str">
        <f t="shared" ca="1" si="13"/>
        <v>Beurteilungs- &amp; Motivations-gespräch</v>
      </c>
      <c r="B511" s="7"/>
      <c r="C511" s="8" t="s">
        <v>1654</v>
      </c>
      <c r="D511" s="8" t="s">
        <v>1655</v>
      </c>
      <c r="E511" s="8" t="s">
        <v>1656</v>
      </c>
      <c r="F511" s="8"/>
      <c r="G511" s="23" t="s">
        <v>17</v>
      </c>
      <c r="J511" s="9"/>
    </row>
    <row r="512" spans="1:10" x14ac:dyDescent="0.25">
      <c r="A512" s="6" t="str">
        <f t="shared" ca="1" si="13"/>
        <v>Zielvereinbarung</v>
      </c>
      <c r="B512" s="7"/>
      <c r="C512" s="8" t="s">
        <v>1657</v>
      </c>
      <c r="D512" s="8" t="s">
        <v>1658</v>
      </c>
      <c r="E512" s="8" t="s">
        <v>1659</v>
      </c>
      <c r="F512" s="8"/>
      <c r="G512" s="23" t="s">
        <v>17</v>
      </c>
      <c r="J512" s="9"/>
    </row>
    <row r="513" spans="1:10" x14ac:dyDescent="0.25">
      <c r="A513" s="6" t="str">
        <f t="shared" ca="1" si="13"/>
        <v>Q-Projekte ok?</v>
      </c>
      <c r="B513" s="7"/>
      <c r="C513" s="8" t="s">
        <v>1660</v>
      </c>
      <c r="D513" s="8" t="s">
        <v>1661</v>
      </c>
      <c r="E513" s="8" t="s">
        <v>1662</v>
      </c>
      <c r="F513" s="8"/>
      <c r="G513" s="23" t="s">
        <v>17</v>
      </c>
      <c r="J513" s="9"/>
    </row>
    <row r="514" spans="1:10" x14ac:dyDescent="0.25">
      <c r="A514" s="6" t="str">
        <f t="shared" ca="1" si="13"/>
        <v>Qualitäts-strategien?</v>
      </c>
      <c r="B514" s="7"/>
      <c r="C514" s="8" t="s">
        <v>1663</v>
      </c>
      <c r="D514" s="8" t="s">
        <v>1664</v>
      </c>
      <c r="E514" s="8" t="s">
        <v>1665</v>
      </c>
      <c r="F514" s="8"/>
      <c r="G514" s="23" t="s">
        <v>17</v>
      </c>
      <c r="J514" s="9"/>
    </row>
    <row r="515" spans="1:10" x14ac:dyDescent="0.25">
      <c r="A515" s="6" t="str">
        <f t="shared" ca="1" si="13"/>
        <v>Neue Projekte?</v>
      </c>
      <c r="B515" s="7"/>
      <c r="C515" s="8" t="s">
        <v>1666</v>
      </c>
      <c r="D515" s="8" t="s">
        <v>1667</v>
      </c>
      <c r="E515" s="8" t="s">
        <v>1668</v>
      </c>
      <c r="F515" s="8"/>
      <c r="G515" s="23" t="s">
        <v>17</v>
      </c>
      <c r="J515" s="9"/>
    </row>
    <row r="516" spans="1:10" x14ac:dyDescent="0.25">
      <c r="A516" s="6" t="str">
        <f t="shared" ca="1" si="13"/>
        <v>Wer?</v>
      </c>
      <c r="B516" s="7"/>
      <c r="C516" s="8" t="s">
        <v>296</v>
      </c>
      <c r="D516" s="8" t="s">
        <v>1669</v>
      </c>
      <c r="E516" s="8" t="s">
        <v>1327</v>
      </c>
      <c r="F516" s="8"/>
      <c r="G516" s="23" t="s">
        <v>17</v>
      </c>
      <c r="J516" s="9"/>
    </row>
    <row r="517" spans="1:10" x14ac:dyDescent="0.25">
      <c r="A517" s="6" t="str">
        <f t="shared" ca="1" si="13"/>
        <v>Beginn</v>
      </c>
      <c r="B517" s="7"/>
      <c r="C517" s="8" t="s">
        <v>292</v>
      </c>
      <c r="D517" s="8" t="s">
        <v>293</v>
      </c>
      <c r="E517" s="8" t="s">
        <v>1294</v>
      </c>
      <c r="F517" s="8"/>
      <c r="G517" s="23" t="s">
        <v>17</v>
      </c>
      <c r="J517" s="9"/>
    </row>
    <row r="518" spans="1:10" x14ac:dyDescent="0.25">
      <c r="A518" s="6" t="str">
        <f t="shared" ca="1" si="13"/>
        <v>Ende</v>
      </c>
      <c r="B518" s="7"/>
      <c r="C518" s="8" t="s">
        <v>294</v>
      </c>
      <c r="D518" s="8" t="s">
        <v>295</v>
      </c>
      <c r="E518" s="8" t="s">
        <v>1295</v>
      </c>
      <c r="F518" s="8"/>
      <c r="G518" s="23" t="s">
        <v>17</v>
      </c>
      <c r="J518" s="9"/>
    </row>
    <row r="519" spans="1:10" x14ac:dyDescent="0.25">
      <c r="A519" s="6" t="str">
        <f t="shared" ca="1" si="13"/>
        <v>Kontinuierliche Verbesserung</v>
      </c>
      <c r="B519" s="7"/>
      <c r="C519" s="8" t="s">
        <v>1670</v>
      </c>
      <c r="D519" s="8" t="s">
        <v>1671</v>
      </c>
      <c r="E519" s="8" t="s">
        <v>1672</v>
      </c>
      <c r="F519" s="8"/>
      <c r="G519" s="23" t="s">
        <v>17</v>
      </c>
      <c r="J519" s="9"/>
    </row>
    <row r="520" spans="1:10" x14ac:dyDescent="0.25">
      <c r="A520" s="6" t="str">
        <f t="shared" ca="1" si="13"/>
        <v>Change Management</v>
      </c>
      <c r="B520" s="7"/>
      <c r="C520" s="8" t="s">
        <v>1848</v>
      </c>
      <c r="D520" s="8" t="s">
        <v>1849</v>
      </c>
      <c r="E520" s="8" t="s">
        <v>1848</v>
      </c>
      <c r="F520" s="8"/>
      <c r="G520" s="23" t="s">
        <v>17</v>
      </c>
      <c r="J520" s="9"/>
    </row>
    <row r="521" spans="1:10" x14ac:dyDescent="0.25">
      <c r="A521" s="6" t="str">
        <f t="shared" ca="1" si="13"/>
        <v>ja</v>
      </c>
      <c r="B521" s="7"/>
      <c r="C521" s="8" t="s">
        <v>496</v>
      </c>
      <c r="D521" s="8" t="s">
        <v>497</v>
      </c>
      <c r="E521" s="8" t="s">
        <v>1292</v>
      </c>
      <c r="F521" s="8"/>
      <c r="G521" s="23" t="s">
        <v>17</v>
      </c>
      <c r="J521" s="9"/>
    </row>
    <row r="522" spans="1:10" x14ac:dyDescent="0.25">
      <c r="A522" s="6" t="str">
        <f t="shared" ca="1" si="13"/>
        <v>nein</v>
      </c>
      <c r="B522" s="7"/>
      <c r="C522" s="8" t="s">
        <v>498</v>
      </c>
      <c r="D522" s="8" t="s">
        <v>499</v>
      </c>
      <c r="E522" s="8" t="s">
        <v>1293</v>
      </c>
      <c r="F522" s="8"/>
      <c r="G522" s="23" t="s">
        <v>17</v>
      </c>
      <c r="J522" s="9"/>
    </row>
    <row r="523" spans="1:10" x14ac:dyDescent="0.25">
      <c r="A523" s="6" t="str">
        <f t="shared" ca="1" si="13"/>
        <v>S. 2</v>
      </c>
      <c r="B523" s="7"/>
      <c r="C523" s="8" t="s">
        <v>500</v>
      </c>
      <c r="D523" s="8" t="s">
        <v>501</v>
      </c>
      <c r="E523" s="8" t="s">
        <v>501</v>
      </c>
      <c r="F523" s="8"/>
      <c r="G523" s="23" t="s">
        <v>17</v>
      </c>
      <c r="J523" s="9"/>
    </row>
    <row r="524" spans="1:10" ht="28.8" x14ac:dyDescent="0.25">
      <c r="A524" s="6" t="str">
        <f t="shared" ca="1" si="13"/>
        <v>Quality Manager</v>
      </c>
      <c r="B524" s="7"/>
      <c r="C524" s="8" t="s">
        <v>1673</v>
      </c>
      <c r="D524" s="8" t="s">
        <v>1674</v>
      </c>
      <c r="E524" s="8" t="s">
        <v>1675</v>
      </c>
      <c r="F524" s="8"/>
      <c r="G524" s="23" t="s">
        <v>17</v>
      </c>
      <c r="J524" s="9"/>
    </row>
    <row r="525" spans="1:10" x14ac:dyDescent="0.25">
      <c r="A525" s="6" t="str">
        <f t="shared" ca="1" si="13"/>
        <v>Pareto</v>
      </c>
      <c r="B525" s="7"/>
      <c r="C525" s="8" t="s">
        <v>1811</v>
      </c>
      <c r="D525" s="8" t="s">
        <v>1811</v>
      </c>
      <c r="E525" s="8" t="s">
        <v>1811</v>
      </c>
      <c r="F525" s="8"/>
      <c r="G525" s="23" t="s">
        <v>17</v>
      </c>
      <c r="J525" s="9"/>
    </row>
    <row r="526" spans="1:10" x14ac:dyDescent="0.25">
      <c r="A526" s="6" t="str">
        <f t="shared" ca="1" si="13"/>
        <v>Ursache-Wirkung</v>
      </c>
      <c r="B526" s="7"/>
      <c r="C526" s="8" t="s">
        <v>1812</v>
      </c>
      <c r="D526" s="8" t="s">
        <v>1813</v>
      </c>
      <c r="E526" s="8" t="s">
        <v>1814</v>
      </c>
      <c r="F526" s="8"/>
      <c r="G526" s="23" t="s">
        <v>17</v>
      </c>
      <c r="J526" s="9"/>
    </row>
    <row r="527" spans="1:10" x14ac:dyDescent="0.25">
      <c r="A527" s="6" t="str">
        <f t="shared" ca="1" si="13"/>
        <v>Kosten-Nutzen</v>
      </c>
      <c r="B527" s="7"/>
      <c r="C527" s="8" t="s">
        <v>1817</v>
      </c>
      <c r="D527" s="8" t="s">
        <v>1818</v>
      </c>
      <c r="E527" s="8" t="s">
        <v>1895</v>
      </c>
      <c r="F527" s="8"/>
      <c r="G527" s="23" t="s">
        <v>17</v>
      </c>
      <c r="J527" s="9"/>
    </row>
    <row r="528" spans="1:10" x14ac:dyDescent="0.25">
      <c r="A528" s="6" t="str">
        <f t="shared" ca="1" si="13"/>
        <v>Varianten</v>
      </c>
      <c r="B528" s="7"/>
      <c r="C528" s="8" t="s">
        <v>1819</v>
      </c>
      <c r="D528" s="8" t="s">
        <v>1820</v>
      </c>
      <c r="E528" s="8" t="s">
        <v>1893</v>
      </c>
      <c r="F528" s="8"/>
      <c r="G528" s="23" t="s">
        <v>17</v>
      </c>
      <c r="J528" s="9"/>
    </row>
    <row r="529" spans="1:26" x14ac:dyDescent="0.25">
      <c r="A529" s="25" t="str">
        <f t="shared" ca="1" si="13"/>
        <v>Dringlich-keit</v>
      </c>
      <c r="B529" s="7"/>
      <c r="C529" s="26" t="s">
        <v>1828</v>
      </c>
      <c r="D529" s="26" t="s">
        <v>1827</v>
      </c>
      <c r="E529" s="26" t="s">
        <v>1894</v>
      </c>
      <c r="F529" s="26"/>
      <c r="G529" s="27" t="s">
        <v>17</v>
      </c>
      <c r="J529" s="9"/>
    </row>
    <row r="530" spans="1:26" s="19" customFormat="1" x14ac:dyDescent="0.25">
      <c r="A530" s="16" t="str">
        <f t="shared" ca="1" si="13"/>
        <v>E I S E N H O W E R   M A T R I X</v>
      </c>
      <c r="B530" s="17"/>
      <c r="C530" s="16" t="s">
        <v>1687</v>
      </c>
      <c r="D530" s="16" t="s">
        <v>1687</v>
      </c>
      <c r="E530" s="16" t="s">
        <v>1687</v>
      </c>
      <c r="F530" s="16"/>
      <c r="G530" s="18" t="s">
        <v>17</v>
      </c>
      <c r="I530" s="9"/>
      <c r="Z530" s="3"/>
    </row>
    <row r="531" spans="1:26" x14ac:dyDescent="0.25">
      <c r="A531" s="20" t="str">
        <f t="shared" ca="1" si="13"/>
        <v>Aufgabe</v>
      </c>
      <c r="B531" s="7"/>
      <c r="C531" s="28" t="s">
        <v>1688</v>
      </c>
      <c r="D531" s="28" t="s">
        <v>1690</v>
      </c>
      <c r="E531" s="28" t="s">
        <v>1689</v>
      </c>
      <c r="F531" s="28"/>
      <c r="G531" s="22" t="s">
        <v>17</v>
      </c>
      <c r="J531" s="9"/>
    </row>
    <row r="532" spans="1:26" x14ac:dyDescent="0.25">
      <c r="A532" s="6" t="str">
        <f t="shared" ca="1" si="13"/>
        <v>wichtig</v>
      </c>
      <c r="B532" s="7"/>
      <c r="C532" s="8" t="s">
        <v>1713</v>
      </c>
      <c r="D532" s="8" t="s">
        <v>1898</v>
      </c>
      <c r="E532" s="8" t="s">
        <v>1898</v>
      </c>
      <c r="F532" s="8"/>
      <c r="G532" s="23" t="s">
        <v>17</v>
      </c>
      <c r="J532" s="9"/>
    </row>
    <row r="533" spans="1:26" x14ac:dyDescent="0.25">
      <c r="A533" s="6" t="str">
        <f t="shared" ca="1" si="13"/>
        <v>wichtig</v>
      </c>
      <c r="B533" s="7"/>
      <c r="C533" s="8" t="s">
        <v>1713</v>
      </c>
      <c r="D533" s="8" t="s">
        <v>1691</v>
      </c>
      <c r="E533" s="8" t="s">
        <v>1691</v>
      </c>
      <c r="F533" s="8"/>
      <c r="G533" s="23" t="s">
        <v>17</v>
      </c>
      <c r="J533" s="9"/>
    </row>
    <row r="534" spans="1:26" x14ac:dyDescent="0.25">
      <c r="A534" s="6" t="str">
        <f t="shared" ca="1" si="13"/>
        <v>dringend</v>
      </c>
      <c r="B534" s="7"/>
      <c r="C534" s="8" t="s">
        <v>1714</v>
      </c>
      <c r="D534" s="8" t="s">
        <v>1715</v>
      </c>
      <c r="E534" s="8" t="s">
        <v>1715</v>
      </c>
      <c r="F534" s="8"/>
      <c r="G534" s="23" t="s">
        <v>17</v>
      </c>
      <c r="J534" s="9"/>
    </row>
    <row r="535" spans="1:26" x14ac:dyDescent="0.25">
      <c r="A535" s="6" t="str">
        <f t="shared" ca="1" si="13"/>
        <v>Aufwand</v>
      </c>
      <c r="C535" s="9" t="s">
        <v>799</v>
      </c>
      <c r="D535" s="9" t="s">
        <v>1816</v>
      </c>
      <c r="E535" s="9" t="s">
        <v>1816</v>
      </c>
      <c r="G535" s="29" t="s">
        <v>17</v>
      </c>
      <c r="J535" s="9"/>
    </row>
    <row r="536" spans="1:26" x14ac:dyDescent="0.25">
      <c r="A536" s="6" t="str">
        <f t="shared" ca="1" si="13"/>
        <v>Anzahl</v>
      </c>
      <c r="B536" s="7"/>
      <c r="C536" s="8" t="s">
        <v>428</v>
      </c>
      <c r="D536" s="8" t="s">
        <v>1815</v>
      </c>
      <c r="E536" s="8" t="s">
        <v>1892</v>
      </c>
      <c r="F536" s="8"/>
      <c r="G536" s="23" t="s">
        <v>17</v>
      </c>
      <c r="J536" s="9"/>
    </row>
    <row r="537" spans="1:26" x14ac:dyDescent="0.25">
      <c r="A537" s="6" t="str">
        <f t="shared" ca="1" si="13"/>
        <v>Bemerkungen</v>
      </c>
      <c r="B537" s="7"/>
      <c r="C537" s="8" t="s">
        <v>43</v>
      </c>
      <c r="D537" s="8" t="s">
        <v>44</v>
      </c>
      <c r="E537" s="8" t="s">
        <v>1049</v>
      </c>
      <c r="F537" s="8"/>
      <c r="G537" s="23" t="s">
        <v>17</v>
      </c>
      <c r="J537" s="9"/>
    </row>
    <row r="538" spans="1:26" x14ac:dyDescent="0.25">
      <c r="A538" s="6" t="str">
        <f t="shared" ca="1" si="13"/>
        <v>Status</v>
      </c>
      <c r="B538" s="7"/>
      <c r="C538" s="7" t="s">
        <v>32</v>
      </c>
      <c r="D538" s="7" t="s">
        <v>33</v>
      </c>
      <c r="E538" s="7" t="s">
        <v>32</v>
      </c>
      <c r="F538" s="7" t="s">
        <v>1112</v>
      </c>
      <c r="G538" s="23" t="s">
        <v>17</v>
      </c>
      <c r="J538" s="9"/>
    </row>
    <row r="539" spans="1:26" x14ac:dyDescent="0.25">
      <c r="A539" s="6" t="str">
        <f t="shared" ca="1" si="13"/>
        <v>hoch</v>
      </c>
      <c r="B539" s="7"/>
      <c r="C539" s="7" t="s">
        <v>26</v>
      </c>
      <c r="D539" s="7" t="s">
        <v>55</v>
      </c>
      <c r="E539" s="7" t="s">
        <v>1091</v>
      </c>
      <c r="F539" s="7" t="s">
        <v>1092</v>
      </c>
      <c r="G539" s="23" t="s">
        <v>17</v>
      </c>
      <c r="J539" s="9"/>
    </row>
    <row r="540" spans="1:26" x14ac:dyDescent="0.25">
      <c r="A540" s="6" t="str">
        <f t="shared" ca="1" si="13"/>
        <v>gering</v>
      </c>
      <c r="B540" s="7"/>
      <c r="C540" s="7" t="s">
        <v>27</v>
      </c>
      <c r="D540" s="7" t="s">
        <v>58</v>
      </c>
      <c r="E540" s="7" t="s">
        <v>1095</v>
      </c>
      <c r="F540" s="7" t="s">
        <v>1096</v>
      </c>
      <c r="G540" s="23" t="s">
        <v>17</v>
      </c>
      <c r="J540" s="9"/>
    </row>
    <row r="541" spans="1:26" x14ac:dyDescent="0.25">
      <c r="A541" s="6" t="str">
        <f t="shared" ca="1" si="13"/>
        <v>think first about it</v>
      </c>
      <c r="B541" s="7"/>
      <c r="C541" s="8" t="s">
        <v>1716</v>
      </c>
      <c r="D541" s="8" t="s">
        <v>1716</v>
      </c>
      <c r="E541" s="8" t="s">
        <v>1716</v>
      </c>
      <c r="F541" s="8"/>
      <c r="G541" s="23" t="s">
        <v>17</v>
      </c>
      <c r="J541" s="9"/>
    </row>
    <row r="542" spans="1:26" x14ac:dyDescent="0.25">
      <c r="A542" s="6" t="str">
        <f t="shared" ca="1" si="13"/>
        <v>do it</v>
      </c>
      <c r="B542" s="7"/>
      <c r="C542" s="8" t="s">
        <v>1717</v>
      </c>
      <c r="D542" s="8" t="s">
        <v>1717</v>
      </c>
      <c r="E542" s="8" t="s">
        <v>1717</v>
      </c>
      <c r="F542" s="8"/>
      <c r="G542" s="23" t="s">
        <v>17</v>
      </c>
      <c r="J542" s="9"/>
    </row>
    <row r="543" spans="1:26" x14ac:dyDescent="0.25">
      <c r="A543" s="6" t="str">
        <f t="shared" ca="1" si="13"/>
        <v>forget it</v>
      </c>
      <c r="B543" s="7"/>
      <c r="C543" s="8" t="s">
        <v>1718</v>
      </c>
      <c r="D543" s="8" t="s">
        <v>1718</v>
      </c>
      <c r="E543" s="8" t="s">
        <v>1718</v>
      </c>
      <c r="F543" s="8"/>
      <c r="G543" s="23" t="s">
        <v>17</v>
      </c>
      <c r="J543" s="9"/>
    </row>
    <row r="544" spans="1:26" x14ac:dyDescent="0.25">
      <c r="A544" s="25" t="str">
        <f t="shared" ca="1" si="13"/>
        <v>delegate</v>
      </c>
      <c r="B544" s="7"/>
      <c r="C544" s="26" t="s">
        <v>1719</v>
      </c>
      <c r="D544" s="26" t="s">
        <v>1719</v>
      </c>
      <c r="E544" s="26" t="s">
        <v>1719</v>
      </c>
      <c r="F544" s="26"/>
      <c r="G544" s="27" t="s">
        <v>17</v>
      </c>
      <c r="J544" s="9"/>
    </row>
    <row r="545" spans="1:26" s="19" customFormat="1" x14ac:dyDescent="0.25">
      <c r="A545" s="16" t="str">
        <f t="shared" ca="1" si="13"/>
        <v>G A N Z H E I T L I C H E   F Ü H R U N G</v>
      </c>
      <c r="B545" s="17"/>
      <c r="C545" s="39" t="s">
        <v>1720</v>
      </c>
      <c r="D545" s="39" t="s">
        <v>1721</v>
      </c>
      <c r="E545" s="39" t="s">
        <v>1722</v>
      </c>
      <c r="F545" s="39"/>
      <c r="G545" s="40" t="s">
        <v>17</v>
      </c>
      <c r="H545" s="5">
        <v>47848</v>
      </c>
      <c r="Z545" s="41"/>
    </row>
    <row r="546" spans="1:26" x14ac:dyDescent="0.25">
      <c r="A546" s="20" t="str">
        <f t="shared" ca="1" si="13"/>
        <v>Ansprüche - Werte - Ressourcen</v>
      </c>
      <c r="B546" s="7"/>
      <c r="C546" s="42" t="s">
        <v>1723</v>
      </c>
      <c r="D546" s="42" t="s">
        <v>1724</v>
      </c>
      <c r="E546" s="42" t="s">
        <v>1725</v>
      </c>
      <c r="F546" s="42"/>
      <c r="G546" s="43" t="s">
        <v>17</v>
      </c>
      <c r="H546" s="5"/>
      <c r="J546" s="9"/>
      <c r="Z546" s="5"/>
    </row>
    <row r="547" spans="1:26" x14ac:dyDescent="0.25">
      <c r="A547" s="6" t="str">
        <f t="shared" ca="1" si="13"/>
        <v>Gesellschaft- Wirtschaft- Technologie</v>
      </c>
      <c r="B547" s="7"/>
      <c r="C547" s="44" t="s">
        <v>1726</v>
      </c>
      <c r="D547" s="44" t="s">
        <v>1727</v>
      </c>
      <c r="E547" s="44" t="s">
        <v>1728</v>
      </c>
      <c r="F547" s="44"/>
      <c r="G547" s="45" t="s">
        <v>17</v>
      </c>
      <c r="H547" s="5"/>
      <c r="J547" s="9"/>
      <c r="Z547" s="5"/>
    </row>
    <row r="548" spans="1:26" x14ac:dyDescent="0.25">
      <c r="A548" s="6" t="str">
        <f t="shared" ca="1" si="13"/>
        <v>Markt - Stakeholder - Konkurrenz</v>
      </c>
      <c r="B548" s="7"/>
      <c r="C548" s="44" t="s">
        <v>1729</v>
      </c>
      <c r="D548" s="44" t="s">
        <v>1730</v>
      </c>
      <c r="E548" s="44" t="s">
        <v>1731</v>
      </c>
      <c r="F548" s="44"/>
      <c r="G548" s="45" t="s">
        <v>17</v>
      </c>
      <c r="H548" s="5"/>
      <c r="J548" s="9"/>
      <c r="Z548" s="5"/>
    </row>
    <row r="549" spans="1:26" x14ac:dyDescent="0.25">
      <c r="A549" s="6" t="str">
        <f t="shared" ca="1" si="13"/>
        <v>Politik - Gesetze - Natur/Umwelt</v>
      </c>
      <c r="B549" s="7"/>
      <c r="C549" s="44" t="s">
        <v>1732</v>
      </c>
      <c r="D549" s="44" t="s">
        <v>1733</v>
      </c>
      <c r="E549" s="44" t="s">
        <v>1734</v>
      </c>
      <c r="F549" s="44"/>
      <c r="G549" s="45" t="s">
        <v>17</v>
      </c>
      <c r="H549" s="5"/>
      <c r="J549" s="9"/>
      <c r="Z549" s="5"/>
    </row>
    <row r="550" spans="1:26" x14ac:dyDescent="0.25">
      <c r="A550" s="6" t="str">
        <f t="shared" ca="1" si="13"/>
        <v>Effektivität (do the right things)</v>
      </c>
      <c r="B550" s="7"/>
      <c r="C550" s="44" t="s">
        <v>1735</v>
      </c>
      <c r="D550" s="44" t="s">
        <v>1736</v>
      </c>
      <c r="E550" s="44" t="s">
        <v>1737</v>
      </c>
      <c r="F550" s="44"/>
      <c r="G550" s="45" t="s">
        <v>17</v>
      </c>
      <c r="H550" s="5"/>
      <c r="J550" s="9"/>
      <c r="Z550" s="5"/>
    </row>
    <row r="551" spans="1:26" x14ac:dyDescent="0.25">
      <c r="A551" s="6" t="str">
        <f t="shared" ca="1" si="13"/>
        <v>Vision/Mission</v>
      </c>
      <c r="B551" s="7"/>
      <c r="C551" s="44" t="s">
        <v>1738</v>
      </c>
      <c r="D551" s="44" t="s">
        <v>1738</v>
      </c>
      <c r="E551" s="44" t="s">
        <v>1738</v>
      </c>
      <c r="F551" s="44"/>
      <c r="G551" s="45" t="s">
        <v>17</v>
      </c>
      <c r="H551" s="5"/>
      <c r="J551" s="9"/>
      <c r="Z551" s="5"/>
    </row>
    <row r="552" spans="1:26" x14ac:dyDescent="0.25">
      <c r="A552" s="6" t="str">
        <f t="shared" ca="1" si="13"/>
        <v>Pers.-entwickl.</v>
      </c>
      <c r="B552" s="7"/>
      <c r="C552" s="44" t="s">
        <v>1890</v>
      </c>
      <c r="D552" s="44" t="s">
        <v>1891</v>
      </c>
      <c r="E552" s="44" t="s">
        <v>1739</v>
      </c>
      <c r="F552" s="44"/>
      <c r="G552" s="45" t="s">
        <v>17</v>
      </c>
      <c r="H552" s="5"/>
      <c r="J552" s="9"/>
      <c r="Z552" s="5"/>
    </row>
    <row r="553" spans="1:26" x14ac:dyDescent="0.25">
      <c r="A553" s="6" t="str">
        <f t="shared" ca="1" si="13"/>
        <v>Strategien</v>
      </c>
      <c r="B553" s="7"/>
      <c r="C553" s="8" t="s">
        <v>264</v>
      </c>
      <c r="D553" s="8" t="s">
        <v>265</v>
      </c>
      <c r="E553" s="8" t="s">
        <v>1740</v>
      </c>
      <c r="F553" s="8"/>
      <c r="G553" s="23" t="s">
        <v>17</v>
      </c>
      <c r="H553" s="5"/>
      <c r="J553" s="9"/>
      <c r="Z553" s="5"/>
    </row>
    <row r="554" spans="1:26" x14ac:dyDescent="0.25">
      <c r="A554" s="6" t="str">
        <f t="shared" ref="A554:A589" ca="1" si="14">OFFSET($C554,0,$Z$5-1)</f>
        <v>Massnahmen - Projekte</v>
      </c>
      <c r="B554" s="7"/>
      <c r="C554" s="8" t="s">
        <v>1741</v>
      </c>
      <c r="D554" s="8" t="s">
        <v>1742</v>
      </c>
      <c r="E554" s="8" t="s">
        <v>1743</v>
      </c>
      <c r="F554" s="8"/>
      <c r="G554" s="23" t="s">
        <v>17</v>
      </c>
      <c r="H554" s="5"/>
      <c r="J554" s="9"/>
      <c r="Z554" s="5"/>
    </row>
    <row r="555" spans="1:26" x14ac:dyDescent="0.25">
      <c r="A555" s="6" t="str">
        <f t="shared" ca="1" si="14"/>
        <v>Motivation</v>
      </c>
      <c r="B555" s="7"/>
      <c r="C555" s="8" t="s">
        <v>1441</v>
      </c>
      <c r="D555" s="8" t="s">
        <v>1441</v>
      </c>
      <c r="E555" s="8" t="s">
        <v>1441</v>
      </c>
      <c r="F555" s="8"/>
      <c r="G555" s="23" t="s">
        <v>17</v>
      </c>
      <c r="H555" s="5"/>
      <c r="J555" s="9"/>
      <c r="Z555" s="5"/>
    </row>
    <row r="556" spans="1:26" x14ac:dyDescent="0.25">
      <c r="A556" s="6" t="str">
        <f t="shared" ca="1" si="14"/>
        <v>Personal-führung</v>
      </c>
      <c r="B556" s="7"/>
      <c r="C556" s="8" t="s">
        <v>1744</v>
      </c>
      <c r="D556" s="8" t="s">
        <v>1745</v>
      </c>
      <c r="E556" s="8" t="s">
        <v>1746</v>
      </c>
      <c r="F556" s="8"/>
      <c r="G556" s="23" t="s">
        <v>17</v>
      </c>
      <c r="H556" s="5"/>
      <c r="J556" s="9"/>
      <c r="Z556" s="5"/>
    </row>
    <row r="557" spans="1:26" x14ac:dyDescent="0.25">
      <c r="A557" s="6" t="str">
        <f t="shared" ca="1" si="14"/>
        <v>Motivation</v>
      </c>
      <c r="B557" s="7"/>
      <c r="C557" s="8" t="s">
        <v>1441</v>
      </c>
      <c r="D557" s="8" t="s">
        <v>1441</v>
      </c>
      <c r="E557" s="8" t="s">
        <v>1441</v>
      </c>
      <c r="F557" s="8"/>
      <c r="G557" s="23" t="s">
        <v>17</v>
      </c>
      <c r="H557" s="5"/>
      <c r="J557" s="9"/>
      <c r="Z557" s="5"/>
    </row>
    <row r="558" spans="1:26" x14ac:dyDescent="0.25">
      <c r="A558" s="6" t="str">
        <f t="shared" ca="1" si="14"/>
        <v>Leadership Kompetenzen</v>
      </c>
      <c r="B558" s="7"/>
      <c r="C558" s="8" t="s">
        <v>1747</v>
      </c>
      <c r="D558" s="8" t="s">
        <v>1748</v>
      </c>
      <c r="E558" s="8" t="s">
        <v>1749</v>
      </c>
      <c r="F558" s="8"/>
      <c r="G558" s="23" t="s">
        <v>17</v>
      </c>
      <c r="H558" s="5"/>
      <c r="J558" s="9"/>
      <c r="Z558" s="5"/>
    </row>
    <row r="559" spans="1:26" x14ac:dyDescent="0.25">
      <c r="A559" s="6" t="str">
        <f t="shared" ca="1" si="14"/>
        <v>Qualität</v>
      </c>
      <c r="B559" s="7"/>
      <c r="C559" s="8" t="s">
        <v>45</v>
      </c>
      <c r="D559" s="8" t="s">
        <v>46</v>
      </c>
      <c r="E559" s="8" t="s">
        <v>1086</v>
      </c>
      <c r="F559" s="8"/>
      <c r="G559" s="23" t="s">
        <v>17</v>
      </c>
      <c r="H559" s="5"/>
      <c r="J559" s="9"/>
      <c r="Z559" s="5"/>
    </row>
    <row r="560" spans="1:26" x14ac:dyDescent="0.25">
      <c r="A560" s="6" t="str">
        <f t="shared" ca="1" si="14"/>
        <v>Kultur</v>
      </c>
      <c r="B560" s="7"/>
      <c r="C560" s="8" t="s">
        <v>1750</v>
      </c>
      <c r="D560" s="8" t="s">
        <v>1751</v>
      </c>
      <c r="E560" s="8" t="s">
        <v>1752</v>
      </c>
      <c r="F560" s="8"/>
      <c r="G560" s="23" t="s">
        <v>17</v>
      </c>
      <c r="H560" s="5"/>
      <c r="J560" s="9"/>
      <c r="Z560" s="5"/>
    </row>
    <row r="561" spans="1:26" x14ac:dyDescent="0.25">
      <c r="A561" s="6" t="str">
        <f t="shared" ca="1" si="14"/>
        <v>Personal &amp; Innovation</v>
      </c>
      <c r="B561" s="7"/>
      <c r="C561" s="8" t="s">
        <v>1753</v>
      </c>
      <c r="D561" s="8" t="s">
        <v>1754</v>
      </c>
      <c r="E561" s="8" t="s">
        <v>1755</v>
      </c>
      <c r="F561" s="8"/>
      <c r="G561" s="23" t="s">
        <v>17</v>
      </c>
      <c r="H561" s="5"/>
      <c r="J561" s="9"/>
      <c r="Z561" s="5"/>
    </row>
    <row r="562" spans="1:26" x14ac:dyDescent="0.25">
      <c r="A562" s="6" t="str">
        <f t="shared" ca="1" si="14"/>
        <v>Management Kompetenzen</v>
      </c>
      <c r="B562" s="7"/>
      <c r="C562" s="8" t="s">
        <v>1756</v>
      </c>
      <c r="D562" s="8" t="s">
        <v>1757</v>
      </c>
      <c r="E562" s="8" t="s">
        <v>1758</v>
      </c>
      <c r="F562" s="8"/>
      <c r="G562" s="23" t="s">
        <v>17</v>
      </c>
      <c r="H562" s="5"/>
      <c r="J562" s="9"/>
      <c r="Z562" s="5"/>
    </row>
    <row r="563" spans="1:26" x14ac:dyDescent="0.25">
      <c r="A563" s="6" t="str">
        <f t="shared" ca="1" si="14"/>
        <v>Entrepreuneurship Kompetenzen</v>
      </c>
      <c r="B563" s="7"/>
      <c r="C563" s="8" t="s">
        <v>1759</v>
      </c>
      <c r="D563" s="8" t="s">
        <v>1760</v>
      </c>
      <c r="E563" s="8" t="s">
        <v>1761</v>
      </c>
      <c r="F563" s="8"/>
      <c r="G563" s="23" t="s">
        <v>17</v>
      </c>
      <c r="H563" s="5"/>
      <c r="J563" s="9"/>
      <c r="Z563" s="5"/>
    </row>
    <row r="564" spans="1:26" x14ac:dyDescent="0.25">
      <c r="A564" s="6" t="str">
        <f t="shared" ca="1" si="14"/>
        <v>Effizienz (do the things right)</v>
      </c>
      <c r="B564" s="7"/>
      <c r="C564" s="8" t="s">
        <v>1762</v>
      </c>
      <c r="D564" s="8" t="s">
        <v>1763</v>
      </c>
      <c r="E564" s="8" t="s">
        <v>1764</v>
      </c>
      <c r="F564" s="8"/>
      <c r="G564" s="23" t="s">
        <v>17</v>
      </c>
      <c r="H564" s="5"/>
      <c r="J564" s="9"/>
      <c r="Z564" s="5"/>
    </row>
    <row r="565" spans="1:26" x14ac:dyDescent="0.25">
      <c r="A565" s="6" t="str">
        <f t="shared" ca="1" si="14"/>
        <v>Controlling</v>
      </c>
      <c r="B565" s="7"/>
      <c r="C565" s="8" t="s">
        <v>47</v>
      </c>
      <c r="D565" s="8" t="s">
        <v>47</v>
      </c>
      <c r="E565" s="8" t="s">
        <v>47</v>
      </c>
      <c r="F565" s="8"/>
      <c r="G565" s="23" t="s">
        <v>17</v>
      </c>
      <c r="H565" s="5"/>
      <c r="J565" s="9"/>
      <c r="Z565" s="5"/>
    </row>
    <row r="566" spans="1:26" x14ac:dyDescent="0.25">
      <c r="A566" s="6" t="str">
        <f t="shared" ca="1" si="14"/>
        <v>Projektmgmt.</v>
      </c>
      <c r="B566" s="7"/>
      <c r="C566" s="8" t="s">
        <v>1765</v>
      </c>
      <c r="D566" s="8" t="s">
        <v>1766</v>
      </c>
      <c r="E566" s="8" t="s">
        <v>1602</v>
      </c>
      <c r="F566" s="8"/>
      <c r="G566" s="23" t="s">
        <v>17</v>
      </c>
      <c r="H566" s="5"/>
      <c r="J566" s="9"/>
      <c r="Z566" s="5"/>
    </row>
    <row r="567" spans="1:26" x14ac:dyDescent="0.25">
      <c r="A567" s="6" t="str">
        <f t="shared" ca="1" si="14"/>
        <v>Prozessmgmt.</v>
      </c>
      <c r="B567" s="7"/>
      <c r="C567" s="8" t="s">
        <v>1767</v>
      </c>
      <c r="D567" s="8" t="s">
        <v>1768</v>
      </c>
      <c r="E567" s="8" t="s">
        <v>1769</v>
      </c>
      <c r="F567" s="8"/>
      <c r="G567" s="23" t="s">
        <v>17</v>
      </c>
      <c r="H567" s="5"/>
      <c r="J567" s="9"/>
      <c r="Z567" s="5"/>
    </row>
    <row r="568" spans="1:26" x14ac:dyDescent="0.25">
      <c r="A568" s="6" t="str">
        <f t="shared" ca="1" si="14"/>
        <v>Qualitätsmgmt.</v>
      </c>
      <c r="B568" s="7"/>
      <c r="C568" s="8" t="s">
        <v>1770</v>
      </c>
      <c r="D568" s="8" t="s">
        <v>1771</v>
      </c>
      <c r="E568" s="8" t="s">
        <v>1772</v>
      </c>
      <c r="F568" s="8"/>
      <c r="G568" s="23" t="s">
        <v>17</v>
      </c>
      <c r="H568" s="5"/>
      <c r="J568" s="9"/>
      <c r="Z568" s="5"/>
    </row>
    <row r="569" spans="1:26" x14ac:dyDescent="0.25">
      <c r="A569" s="6" t="str">
        <f t="shared" ca="1" si="14"/>
        <v>Finanzmgmt.</v>
      </c>
      <c r="B569" s="7"/>
      <c r="C569" s="8" t="s">
        <v>1773</v>
      </c>
      <c r="D569" s="8" t="s">
        <v>1774</v>
      </c>
      <c r="E569" s="8" t="s">
        <v>1775</v>
      </c>
      <c r="F569" s="8"/>
      <c r="G569" s="23" t="s">
        <v>17</v>
      </c>
      <c r="H569" s="5"/>
      <c r="J569" s="9"/>
      <c r="Z569" s="5"/>
    </row>
    <row r="570" spans="1:26" x14ac:dyDescent="0.25">
      <c r="A570" s="6" t="str">
        <f t="shared" ca="1" si="14"/>
        <v>Marketing</v>
      </c>
      <c r="B570" s="7"/>
      <c r="C570" s="8" t="s">
        <v>1776</v>
      </c>
      <c r="D570" s="8" t="s">
        <v>1776</v>
      </c>
      <c r="E570" s="8" t="s">
        <v>1776</v>
      </c>
      <c r="F570" s="8"/>
      <c r="G570" s="23" t="s">
        <v>17</v>
      </c>
      <c r="H570" s="5"/>
      <c r="J570" s="9"/>
      <c r="Z570" s="5"/>
    </row>
    <row r="571" spans="1:26" x14ac:dyDescent="0.25">
      <c r="A571" s="6" t="str">
        <f t="shared" ca="1" si="14"/>
        <v>Entwicklung (do new things)</v>
      </c>
      <c r="B571" s="7"/>
      <c r="C571" s="8" t="s">
        <v>1777</v>
      </c>
      <c r="D571" s="8" t="s">
        <v>1778</v>
      </c>
      <c r="E571" s="8" t="s">
        <v>1779</v>
      </c>
      <c r="F571" s="8"/>
      <c r="G571" s="23" t="s">
        <v>17</v>
      </c>
      <c r="H571" s="5"/>
      <c r="J571" s="9"/>
      <c r="Z571" s="5"/>
    </row>
    <row r="572" spans="1:26" x14ac:dyDescent="0.25">
      <c r="A572" s="6" t="str">
        <f t="shared" ca="1" si="14"/>
        <v>Innovationsmgmt.</v>
      </c>
      <c r="B572" s="7"/>
      <c r="C572" s="8" t="s">
        <v>1780</v>
      </c>
      <c r="D572" s="8" t="s">
        <v>1781</v>
      </c>
      <c r="E572" s="8" t="s">
        <v>1782</v>
      </c>
      <c r="F572" s="8"/>
      <c r="G572" s="23" t="s">
        <v>17</v>
      </c>
      <c r="H572" s="5"/>
      <c r="J572" s="9"/>
      <c r="Z572" s="5"/>
    </row>
    <row r="573" spans="1:26" x14ac:dyDescent="0.25">
      <c r="A573" s="6" t="str">
        <f t="shared" ca="1" si="14"/>
        <v>Untern.gründung</v>
      </c>
      <c r="B573" s="7"/>
      <c r="C573" s="8" t="s">
        <v>1783</v>
      </c>
      <c r="D573" s="8" t="s">
        <v>1784</v>
      </c>
      <c r="E573" s="8" t="s">
        <v>1785</v>
      </c>
      <c r="F573" s="8"/>
      <c r="G573" s="23" t="s">
        <v>17</v>
      </c>
      <c r="H573" s="5"/>
      <c r="J573" s="9"/>
      <c r="Z573" s="5"/>
    </row>
    <row r="574" spans="1:26" x14ac:dyDescent="0.25">
      <c r="A574" s="6" t="str">
        <f t="shared" ca="1" si="14"/>
        <v>Kommunikation</v>
      </c>
      <c r="B574" s="7"/>
      <c r="C574" s="8" t="s">
        <v>1459</v>
      </c>
      <c r="D574" s="8" t="s">
        <v>1786</v>
      </c>
      <c r="E574" s="8" t="s">
        <v>1786</v>
      </c>
      <c r="F574" s="8"/>
      <c r="G574" s="23" t="s">
        <v>17</v>
      </c>
      <c r="H574" s="5"/>
      <c r="J574" s="9"/>
      <c r="Z574" s="5"/>
    </row>
    <row r="575" spans="1:26" x14ac:dyDescent="0.25">
      <c r="A575" s="6" t="str">
        <f t="shared" ca="1" si="14"/>
        <v>Changemgmt.</v>
      </c>
      <c r="B575" s="7"/>
      <c r="C575" s="8" t="s">
        <v>1787</v>
      </c>
      <c r="D575" s="8" t="s">
        <v>1788</v>
      </c>
      <c r="E575" s="8" t="s">
        <v>1789</v>
      </c>
      <c r="F575" s="8"/>
      <c r="G575" s="23" t="s">
        <v>17</v>
      </c>
      <c r="H575" s="5"/>
      <c r="J575" s="9"/>
      <c r="Z575" s="5"/>
    </row>
    <row r="576" spans="1:26" x14ac:dyDescent="0.25">
      <c r="A576" s="6" t="str">
        <f t="shared" ca="1" si="14"/>
        <v>Riskmanagement</v>
      </c>
      <c r="B576" s="7"/>
      <c r="C576" s="8" t="s">
        <v>1790</v>
      </c>
      <c r="D576" s="8" t="s">
        <v>1791</v>
      </c>
      <c r="E576" s="8" t="s">
        <v>1792</v>
      </c>
      <c r="F576" s="8"/>
      <c r="G576" s="23" t="s">
        <v>17</v>
      </c>
      <c r="H576" s="5"/>
      <c r="J576" s="9"/>
      <c r="Z576" s="5"/>
    </row>
    <row r="577" spans="1:26" x14ac:dyDescent="0.25">
      <c r="A577" s="6" t="str">
        <f t="shared" ca="1" si="14"/>
        <v>HRM</v>
      </c>
      <c r="B577" s="7"/>
      <c r="C577" s="8" t="s">
        <v>1793</v>
      </c>
      <c r="D577" s="8" t="s">
        <v>1794</v>
      </c>
      <c r="E577" s="8" t="s">
        <v>1795</v>
      </c>
      <c r="F577" s="8"/>
      <c r="G577" s="23" t="s">
        <v>17</v>
      </c>
      <c r="H577" s="5"/>
      <c r="J577" s="9"/>
      <c r="Z577" s="5"/>
    </row>
    <row r="578" spans="1:26" x14ac:dyDescent="0.25">
      <c r="A578" s="25" t="str">
        <f t="shared" ca="1" si="14"/>
        <v>Führung</v>
      </c>
      <c r="B578" s="7"/>
      <c r="C578" s="26" t="s">
        <v>1796</v>
      </c>
      <c r="D578" s="26" t="s">
        <v>1797</v>
      </c>
      <c r="E578" s="26" t="s">
        <v>1798</v>
      </c>
      <c r="F578" s="26"/>
      <c r="G578" s="27" t="s">
        <v>17</v>
      </c>
      <c r="H578" s="5"/>
      <c r="J578" s="9"/>
      <c r="Z578" s="5"/>
    </row>
    <row r="579" spans="1:26" x14ac:dyDescent="0.25">
      <c r="A579" s="16" t="str">
        <f t="shared" ca="1" si="14"/>
        <v>Andere Dokumente öffen</v>
      </c>
      <c r="B579" s="17"/>
      <c r="C579" s="16" t="s">
        <v>509</v>
      </c>
      <c r="D579" s="16" t="s">
        <v>510</v>
      </c>
      <c r="E579" s="16" t="s">
        <v>1297</v>
      </c>
      <c r="F579" s="16"/>
      <c r="G579" s="18" t="s">
        <v>17</v>
      </c>
      <c r="J579" s="9"/>
    </row>
    <row r="580" spans="1:26" ht="28.8" x14ac:dyDescent="0.25">
      <c r="A580" s="20" t="str">
        <f t="shared" ca="1" si="14"/>
        <v>Möchten Sie das Programm "Führungsockpit" öffnen?</v>
      </c>
      <c r="B580" s="7"/>
      <c r="C580" s="28" t="s">
        <v>804</v>
      </c>
      <c r="D580" s="28" t="s">
        <v>506</v>
      </c>
      <c r="E580" s="28" t="s">
        <v>1298</v>
      </c>
      <c r="F580" s="28" t="s">
        <v>1300</v>
      </c>
      <c r="G580" s="22" t="s">
        <v>17</v>
      </c>
      <c r="J580" s="9"/>
    </row>
    <row r="581" spans="1:26" ht="28.8" x14ac:dyDescent="0.25">
      <c r="A581" s="6" t="str">
        <f t="shared" ca="1" si="14"/>
        <v>Stellen Sie sicher, dass die Datei "01_Cockpit.exe" im selben Verzeichnis abgelegt ist!</v>
      </c>
      <c r="B581" s="7"/>
      <c r="C581" s="8" t="s">
        <v>507</v>
      </c>
      <c r="D581" s="8" t="s">
        <v>508</v>
      </c>
      <c r="E581" s="8" t="s">
        <v>1299</v>
      </c>
      <c r="F581" s="8" t="s">
        <v>1301</v>
      </c>
      <c r="G581" s="23" t="s">
        <v>17</v>
      </c>
      <c r="J581" s="9"/>
    </row>
    <row r="582" spans="1:26" ht="28.8" x14ac:dyDescent="0.25">
      <c r="A582" s="6" t="str">
        <f t="shared" ca="1" si="14"/>
        <v>Möchten Sie das Programm "Strategisches Management" öffnen?</v>
      </c>
      <c r="B582" s="7"/>
      <c r="C582" s="8" t="s">
        <v>453</v>
      </c>
      <c r="D582" s="8" t="s">
        <v>1387</v>
      </c>
      <c r="E582" s="8" t="s">
        <v>1388</v>
      </c>
      <c r="F582" s="8"/>
      <c r="G582" s="23" t="s">
        <v>17</v>
      </c>
      <c r="J582" s="9"/>
    </row>
    <row r="583" spans="1:26" ht="43.2" x14ac:dyDescent="0.25">
      <c r="A583" s="6" t="str">
        <f t="shared" ca="1" si="14"/>
        <v>Stellen Sie sicher, dass die Datei "02_StrategicManagement.exe" im selben Verzeichnis abgelegt ist!</v>
      </c>
      <c r="B583" s="7"/>
      <c r="C583" s="8" t="s">
        <v>473</v>
      </c>
      <c r="D583" s="8" t="s">
        <v>1389</v>
      </c>
      <c r="E583" s="8" t="s">
        <v>1390</v>
      </c>
      <c r="F583" s="8"/>
      <c r="G583" s="23" t="s">
        <v>17</v>
      </c>
      <c r="J583" s="9"/>
    </row>
    <row r="584" spans="1:26" x14ac:dyDescent="0.25">
      <c r="A584" s="6" t="str">
        <f t="shared" ca="1" si="14"/>
        <v>Möchten Sie das Programm "Business Plan" öffnen?</v>
      </c>
      <c r="B584" s="7"/>
      <c r="C584" s="8" t="s">
        <v>737</v>
      </c>
      <c r="D584" s="8" t="s">
        <v>738</v>
      </c>
      <c r="E584" s="8" t="s">
        <v>1391</v>
      </c>
      <c r="F584" s="8"/>
      <c r="G584" s="23" t="s">
        <v>17</v>
      </c>
      <c r="J584" s="9"/>
    </row>
    <row r="585" spans="1:26" ht="28.8" x14ac:dyDescent="0.25">
      <c r="A585" s="6" t="str">
        <f t="shared" ca="1" si="14"/>
        <v>Stellen Sie sicher, dass die Datei "04_BusinessPlan.exe" im selben Verzeichnis abgelegt ist!</v>
      </c>
      <c r="B585" s="7"/>
      <c r="C585" s="8" t="s">
        <v>739</v>
      </c>
      <c r="D585" s="8" t="s">
        <v>740</v>
      </c>
      <c r="E585" s="8" t="s">
        <v>1392</v>
      </c>
      <c r="F585" s="8"/>
      <c r="G585" s="23" t="s">
        <v>17</v>
      </c>
      <c r="J585" s="9"/>
    </row>
    <row r="586" spans="1:26" ht="28.8" x14ac:dyDescent="0.25">
      <c r="A586" s="6" t="str">
        <f t="shared" ca="1" si="14"/>
        <v>Möchten Sie das Programm "Balanced Scorecard" öffnen?</v>
      </c>
      <c r="B586" s="7"/>
      <c r="C586" s="8" t="s">
        <v>596</v>
      </c>
      <c r="D586" s="8" t="s">
        <v>597</v>
      </c>
      <c r="E586" s="8" t="s">
        <v>1302</v>
      </c>
      <c r="F586" s="8" t="s">
        <v>1303</v>
      </c>
      <c r="G586" s="23" t="s">
        <v>17</v>
      </c>
      <c r="J586" s="9"/>
    </row>
    <row r="587" spans="1:26" ht="28.8" x14ac:dyDescent="0.25">
      <c r="A587" s="6" t="str">
        <f t="shared" ca="1" si="14"/>
        <v>Stellen Sie sicher, dass die Datei "01_Cockpit.exe" im selben Verzeichnis abgelegt ist!</v>
      </c>
      <c r="B587" s="7"/>
      <c r="C587" s="8" t="s">
        <v>507</v>
      </c>
      <c r="D587" s="8" t="s">
        <v>508</v>
      </c>
      <c r="E587" s="8" t="s">
        <v>1299</v>
      </c>
      <c r="F587" s="8" t="s">
        <v>1301</v>
      </c>
      <c r="G587" s="23" t="s">
        <v>17</v>
      </c>
      <c r="J587" s="9"/>
    </row>
    <row r="588" spans="1:26" ht="28.8" x14ac:dyDescent="0.25">
      <c r="A588" s="6" t="str">
        <f t="shared" ca="1" si="14"/>
        <v>Möchten Sie das Programm "Projektmanagement" öffnen?</v>
      </c>
      <c r="B588" s="7"/>
      <c r="C588" s="8" t="s">
        <v>800</v>
      </c>
      <c r="D588" s="8" t="s">
        <v>801</v>
      </c>
      <c r="E588" s="8" t="s">
        <v>1393</v>
      </c>
      <c r="F588" s="8"/>
      <c r="G588" s="23" t="s">
        <v>17</v>
      </c>
      <c r="J588" s="9"/>
    </row>
    <row r="589" spans="1:26" ht="43.2" x14ac:dyDescent="0.25">
      <c r="A589" s="6" t="str">
        <f t="shared" ca="1" si="14"/>
        <v>Stellen Sie sicher, dass die Datei "03_ProjectManagement.exe" im selben Verzeichnis abgelegt ist!</v>
      </c>
      <c r="B589" s="7"/>
      <c r="C589" s="8" t="s">
        <v>802</v>
      </c>
      <c r="D589" s="8" t="s">
        <v>803</v>
      </c>
      <c r="E589" s="8" t="s">
        <v>1394</v>
      </c>
      <c r="F589" s="8"/>
      <c r="G589" s="23" t="s">
        <v>17</v>
      </c>
      <c r="J589" s="9"/>
    </row>
    <row r="793" spans="1:10" x14ac:dyDescent="0.25">
      <c r="A793" s="6"/>
      <c r="B793" s="7"/>
      <c r="C793" s="8"/>
      <c r="D793" s="8"/>
      <c r="E793" s="8"/>
      <c r="F793" s="8"/>
      <c r="G793" s="46"/>
      <c r="J793" s="9"/>
    </row>
  </sheetData>
  <sheetProtection sheet="1" objects="1" scenarios="1"/>
  <dataValidations count="1">
    <dataValidation type="custom" allowBlank="1" showInputMessage="1" showErrorMessage="1" sqref="Z793:Z1048576 Z579:Z716 Z1:Z560" xr:uid="{00000000-0002-0000-0000-000000000000}">
      <formula1>$Z$1=";"</formula1>
    </dataValidation>
  </dataValidations>
  <hyperlinks>
    <hyperlink ref="A5" location="'Menu Toolbox'!A1" display="'Menu Toolbox'!A1" xr:uid="{00000000-0004-0000-0000-000000000000}"/>
    <hyperlink ref="A91" location="Risikomgmt!A1" display="Risikomgmt!A1" xr:uid="{00000000-0004-0000-0000-000001000000}"/>
    <hyperlink ref="A109" location="Benchmark!A1" display="Benchmark!A1" xr:uid="{00000000-0004-0000-0000-000002000000}"/>
    <hyperlink ref="A116" location="'Swot-Analyse'!A1" display="'Swot-Analyse'!A1" xr:uid="{00000000-0004-0000-0000-000003000000}"/>
    <hyperlink ref="A126" location="Kunden!A1" display="Kunden!A1" xr:uid="{00000000-0004-0000-0000-000004000000}"/>
    <hyperlink ref="A370" location="Stakeholder!A1" display="Stakeholder!A1" xr:uid="{00000000-0004-0000-0000-000005000000}"/>
    <hyperlink ref="A394" location="Canvas!A1" display="Canvas!A1" xr:uid="{00000000-0004-0000-0000-000006000000}"/>
    <hyperlink ref="A421" location="Canvas!A1" display="Canvas!A1" xr:uid="{00000000-0004-0000-0000-000007000000}"/>
    <hyperlink ref="A57" location="PESTLE!A1" display="PESTLE!A1" xr:uid="{00000000-0004-0000-0000-000008000000}"/>
    <hyperlink ref="A76" location="PESTLE!A1" display="PESTLE!A1" xr:uid="{00000000-0004-0000-0000-000009000000}"/>
  </hyperlinks>
  <pageMargins left="0.7" right="0.7" top="0.78740157499999996" bottom="0.78740157499999996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-0.249977111117893"/>
    <pageSetUpPr fitToPage="1"/>
  </sheetPr>
  <dimension ref="A1:T94"/>
  <sheetViews>
    <sheetView showGridLines="0" showRowColHeaders="0" tabSelected="1" zoomScaleNormal="100" workbookViewId="0"/>
  </sheetViews>
  <sheetFormatPr baseColWidth="10" defaultColWidth="11.44140625" defaultRowHeight="14.4" x14ac:dyDescent="0.3"/>
  <cols>
    <col min="1" max="1" width="7" style="68" customWidth="1"/>
    <col min="2" max="2" width="2.6640625" style="68" customWidth="1"/>
    <col min="3" max="3" width="11.44140625" style="68" customWidth="1"/>
    <col min="4" max="4" width="12.44140625" style="68" customWidth="1"/>
    <col min="5" max="5" width="11.44140625" style="68"/>
    <col min="6" max="6" width="11.44140625" style="68" customWidth="1"/>
    <col min="7" max="7" width="15.33203125" style="68" customWidth="1"/>
    <col min="8" max="8" width="17.6640625" style="68" customWidth="1"/>
    <col min="9" max="9" width="4.5546875" style="68" customWidth="1"/>
    <col min="10" max="10" width="2.6640625" style="68" customWidth="1"/>
    <col min="11" max="11" width="11.44140625" style="68"/>
    <col min="12" max="12" width="11.5546875" style="68" customWidth="1"/>
    <col min="13" max="13" width="5" style="68" customWidth="1"/>
    <col min="14" max="14" width="3" style="68" customWidth="1"/>
    <col min="15" max="15" width="2.109375" style="68" customWidth="1"/>
    <col min="16" max="16" width="85" style="68" customWidth="1"/>
    <col min="17" max="17" width="3.44140625" style="68" customWidth="1"/>
    <col min="18" max="18" width="27.109375" style="68" customWidth="1"/>
    <col min="19" max="16384" width="11.44140625" style="68"/>
  </cols>
  <sheetData>
    <row r="1" spans="1:20" s="67" customFormat="1" ht="45.6" customHeight="1" x14ac:dyDescent="0.3">
      <c r="A1" s="61"/>
      <c r="B1" s="62" t="str">
        <f ca="1">' '!A5</f>
        <v>C H A N G E    M A N A G E M E N T</v>
      </c>
      <c r="C1" s="63"/>
      <c r="D1" s="63"/>
      <c r="E1" s="63"/>
      <c r="F1" s="63"/>
      <c r="G1" s="63"/>
      <c r="H1" s="63"/>
      <c r="I1" s="63"/>
      <c r="J1" s="1010"/>
      <c r="K1" s="1010"/>
      <c r="L1" s="1010"/>
      <c r="M1" s="64"/>
      <c r="N1" s="65"/>
      <c r="O1" s="65"/>
      <c r="P1" s="66"/>
      <c r="Q1" s="65"/>
      <c r="R1" s="65"/>
      <c r="S1" s="65"/>
    </row>
    <row r="2" spans="1:20" ht="23.25" customHeight="1" x14ac:dyDescent="0.3">
      <c r="C2" s="69"/>
      <c r="D2" s="69"/>
    </row>
    <row r="8" spans="1:20" x14ac:dyDescent="0.3">
      <c r="P8" s="66"/>
    </row>
    <row r="10" spans="1:20" x14ac:dyDescent="0.3">
      <c r="T10" s="70"/>
    </row>
    <row r="12" spans="1:20" x14ac:dyDescent="0.3">
      <c r="P12" s="71"/>
    </row>
    <row r="27" spans="16:16" ht="23.4" x14ac:dyDescent="0.3">
      <c r="P27" s="72"/>
    </row>
    <row r="28" spans="16:16" x14ac:dyDescent="0.3">
      <c r="P28" s="73"/>
    </row>
    <row r="29" spans="16:16" x14ac:dyDescent="0.3">
      <c r="P29" s="73"/>
    </row>
    <row r="30" spans="16:16" ht="5.25" customHeight="1" x14ac:dyDescent="0.3">
      <c r="P30" s="73"/>
    </row>
    <row r="31" spans="16:16" ht="13.5" customHeight="1" x14ac:dyDescent="0.3">
      <c r="P31" s="73"/>
    </row>
    <row r="32" spans="16:16" x14ac:dyDescent="0.3">
      <c r="P32" s="73"/>
    </row>
    <row r="33" spans="1:16" x14ac:dyDescent="0.3">
      <c r="P33" s="73"/>
    </row>
    <row r="34" spans="1:16" x14ac:dyDescent="0.3">
      <c r="P34" s="73"/>
    </row>
    <row r="35" spans="1:16" ht="30" customHeight="1" x14ac:dyDescent="0.3">
      <c r="P35" s="73"/>
    </row>
    <row r="36" spans="1:16" s="76" customFormat="1" x14ac:dyDescent="0.3">
      <c r="A36" s="66"/>
      <c r="B36" s="74" t="s">
        <v>2103</v>
      </c>
      <c r="C36" s="66"/>
      <c r="D36" s="75"/>
      <c r="F36" s="75"/>
      <c r="H36" s="75"/>
      <c r="I36" s="75"/>
      <c r="J36" s="75"/>
      <c r="L36" s="77" t="s">
        <v>2107</v>
      </c>
      <c r="P36" s="73"/>
    </row>
    <row r="37" spans="1:16" x14ac:dyDescent="0.3">
      <c r="P37" s="73"/>
    </row>
    <row r="94" spans="5:5" ht="15.6" x14ac:dyDescent="0.3">
      <c r="E94" s="78"/>
    </row>
  </sheetData>
  <sheetProtection sheet="1" objects="1" scenarios="1" formatCells="0" formatColumns="0" formatRows="0" insertHyperlinks="0" selectLockedCells="1" sort="0" autoFilter="0"/>
  <mergeCells count="1">
    <mergeCell ref="J1:L1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9" scale="98" orientation="landscape" r:id="rId1"/>
  <headerFooter>
    <oddFooter>&amp;L&amp;8&amp;K00-048(c) S.Imboden&amp;R&amp;8&amp;K00-048Seite &amp;P von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738" r:id="rId4" name="Drop Down 2">
              <controlPr defaultSize="0" print="0" autoLine="0" autoPict="0">
                <anchor moveWithCells="1">
                  <from>
                    <xdr:col>10</xdr:col>
                    <xdr:colOff>655320</xdr:colOff>
                    <xdr:row>1</xdr:row>
                    <xdr:rowOff>60960</xdr:rowOff>
                  </from>
                  <to>
                    <xdr:col>11</xdr:col>
                    <xdr:colOff>762000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499984740745262"/>
  </sheetPr>
  <dimension ref="A1:T88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4.4" x14ac:dyDescent="0.3"/>
  <cols>
    <col min="1" max="1" width="7" style="68" customWidth="1"/>
    <col min="2" max="2" width="2.6640625" style="68" customWidth="1"/>
    <col min="3" max="5" width="11.44140625" style="68"/>
    <col min="6" max="6" width="11.44140625" style="68" customWidth="1"/>
    <col min="7" max="11" width="11.44140625" style="68"/>
    <col min="12" max="12" width="5.5546875" style="68" customWidth="1"/>
    <col min="13" max="13" width="5" style="68" customWidth="1"/>
    <col min="14" max="14" width="3" style="68" customWidth="1"/>
    <col min="15" max="15" width="2.109375" style="68" customWidth="1"/>
    <col min="16" max="16" width="85" style="68" customWidth="1"/>
    <col min="17" max="17" width="3.44140625" style="68" customWidth="1"/>
    <col min="18" max="18" width="27.109375" style="68" customWidth="1"/>
    <col min="19" max="16384" width="11.44140625" style="68"/>
  </cols>
  <sheetData>
    <row r="1" spans="1:20" s="67" customFormat="1" ht="42" customHeight="1" x14ac:dyDescent="0.3">
      <c r="A1" s="1003"/>
      <c r="B1" s="62" t="str">
        <f ca="1">' '!A48</f>
        <v>C H A N G E   I S   A   P R O C E S S   N O T    A N   E V E N T</v>
      </c>
      <c r="C1" s="63"/>
      <c r="D1" s="63"/>
      <c r="E1" s="63"/>
      <c r="F1" s="63"/>
      <c r="G1" s="63"/>
      <c r="H1" s="63"/>
      <c r="I1" s="63"/>
      <c r="J1" s="1004"/>
      <c r="M1" s="65"/>
      <c r="N1" s="65"/>
      <c r="O1" s="65"/>
      <c r="P1" s="65"/>
      <c r="Q1" s="65"/>
      <c r="R1" s="65"/>
      <c r="S1" s="65"/>
    </row>
    <row r="2" spans="1:20" ht="23.25" customHeight="1" x14ac:dyDescent="0.3">
      <c r="B2" s="1005"/>
      <c r="C2" s="69"/>
      <c r="D2" s="69"/>
    </row>
    <row r="10" spans="1:20" x14ac:dyDescent="0.3">
      <c r="T10" s="70"/>
    </row>
    <row r="13" spans="1:20" x14ac:dyDescent="0.3">
      <c r="M13" s="71"/>
    </row>
    <row r="25" spans="1:16" x14ac:dyDescent="0.3">
      <c r="P25" s="1006"/>
    </row>
    <row r="26" spans="1:16" x14ac:dyDescent="0.3">
      <c r="P26" s="1006"/>
    </row>
    <row r="27" spans="1:16" x14ac:dyDescent="0.3">
      <c r="P27" s="1006"/>
    </row>
    <row r="28" spans="1:16" ht="51.75" customHeight="1" x14ac:dyDescent="0.3">
      <c r="P28" s="1007"/>
    </row>
    <row r="29" spans="1:16" s="76" customFormat="1" x14ac:dyDescent="0.3">
      <c r="A29" s="97"/>
      <c r="B29" s="74" t="s">
        <v>2103</v>
      </c>
      <c r="C29" s="97"/>
      <c r="D29" s="75"/>
      <c r="E29" s="75"/>
      <c r="H29" s="75"/>
      <c r="I29" s="75"/>
      <c r="J29" s="1011">
        <f>MenuChange!J1</f>
        <v>0</v>
      </c>
      <c r="K29" s="1011"/>
      <c r="L29" s="1011"/>
      <c r="P29" s="1007"/>
    </row>
    <row r="30" spans="1:16" x14ac:dyDescent="0.3">
      <c r="P30" s="1007"/>
    </row>
    <row r="31" spans="1:16" x14ac:dyDescent="0.3">
      <c r="P31" s="1007"/>
    </row>
    <row r="32" spans="1:16" x14ac:dyDescent="0.3">
      <c r="P32" s="1007"/>
    </row>
    <row r="33" spans="16:16" x14ac:dyDescent="0.3">
      <c r="P33" s="1007"/>
    </row>
    <row r="34" spans="16:16" x14ac:dyDescent="0.3">
      <c r="P34" s="1007"/>
    </row>
    <row r="35" spans="16:16" x14ac:dyDescent="0.3">
      <c r="P35" s="1007"/>
    </row>
    <row r="36" spans="16:16" x14ac:dyDescent="0.3">
      <c r="P36" s="1007"/>
    </row>
    <row r="37" spans="16:16" x14ac:dyDescent="0.3">
      <c r="P37" s="1007"/>
    </row>
    <row r="38" spans="16:16" x14ac:dyDescent="0.3">
      <c r="P38" s="1007"/>
    </row>
    <row r="39" spans="16:16" x14ac:dyDescent="0.3">
      <c r="P39" s="1007"/>
    </row>
    <row r="40" spans="16:16" x14ac:dyDescent="0.3">
      <c r="P40" s="1007"/>
    </row>
    <row r="41" spans="16:16" x14ac:dyDescent="0.3">
      <c r="P41" s="1007"/>
    </row>
    <row r="42" spans="16:16" x14ac:dyDescent="0.3">
      <c r="P42" s="1007"/>
    </row>
    <row r="43" spans="16:16" x14ac:dyDescent="0.3">
      <c r="P43" s="1007"/>
    </row>
    <row r="44" spans="16:16" x14ac:dyDescent="0.3">
      <c r="P44" s="1007"/>
    </row>
    <row r="45" spans="16:16" x14ac:dyDescent="0.3">
      <c r="P45" s="1007"/>
    </row>
    <row r="46" spans="16:16" x14ac:dyDescent="0.3">
      <c r="P46" s="1007"/>
    </row>
    <row r="47" spans="16:16" x14ac:dyDescent="0.3">
      <c r="P47" s="1007"/>
    </row>
    <row r="48" spans="16:16" x14ac:dyDescent="0.3">
      <c r="P48" s="1007"/>
    </row>
    <row r="49" spans="16:16" x14ac:dyDescent="0.3">
      <c r="P49" s="1007"/>
    </row>
    <row r="50" spans="16:16" x14ac:dyDescent="0.3">
      <c r="P50" s="1007"/>
    </row>
    <row r="88" spans="5:5" ht="15.6" x14ac:dyDescent="0.3">
      <c r="E88" s="78"/>
    </row>
  </sheetData>
  <sheetProtection sheet="1" objects="1" scenarios="1" formatCells="0" formatColumns="0" formatRows="0" insertHyperlinks="0" selectLockedCells="1" sort="0" autoFilter="0"/>
  <mergeCells count="1">
    <mergeCell ref="J29:L29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9" orientation="landscape" r:id="rId1"/>
  <headerFooter>
    <oddFooter>&amp;L&amp;8&amp;K00-048(c) S.Imboden&amp;R&amp;8&amp;K00-048Seite &amp;P von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16">
    <tabColor theme="0" tint="-0.34998626667073579"/>
  </sheetPr>
  <dimension ref="A1:J91"/>
  <sheetViews>
    <sheetView showGridLines="0" zoomScaleNormal="100" workbookViewId="0">
      <pane ySplit="4" topLeftCell="A5" activePane="bottomLeft" state="frozen"/>
      <selection activeCell="N13" sqref="N13"/>
      <selection pane="bottomLeft" activeCell="C5" sqref="C5"/>
    </sheetView>
  </sheetViews>
  <sheetFormatPr baseColWidth="10" defaultColWidth="12.5546875" defaultRowHeight="14.4" x14ac:dyDescent="0.3"/>
  <cols>
    <col min="1" max="1" width="7" style="110" customWidth="1"/>
    <col min="2" max="2" width="4.5546875" style="253" customWidth="1"/>
    <col min="3" max="3" width="29" style="253" customWidth="1"/>
    <col min="4" max="4" width="11.6640625" style="253" customWidth="1"/>
    <col min="5" max="5" width="12.44140625" style="253" bestFit="1" customWidth="1"/>
    <col min="6" max="6" width="31.6640625" style="253" customWidth="1"/>
    <col min="7" max="7" width="7" style="253" customWidth="1"/>
    <col min="8" max="8" width="26" style="253" customWidth="1"/>
    <col min="9" max="9" width="7" style="253" customWidth="1"/>
    <col min="10" max="10" width="0.109375" style="253" customWidth="1"/>
    <col min="11" max="18" width="4" style="253" customWidth="1"/>
    <col min="19" max="16384" width="12.5546875" style="253"/>
  </cols>
  <sheetData>
    <row r="1" spans="1:10" s="249" customFormat="1" ht="45.6" customHeight="1" x14ac:dyDescent="0.3">
      <c r="A1" s="501"/>
      <c r="B1" s="247" t="str">
        <f ca="1">' '!A91</f>
        <v>R I S I K O M A N A G E M E N T</v>
      </c>
      <c r="C1" s="247"/>
      <c r="D1" s="247"/>
      <c r="E1" s="247"/>
      <c r="F1" s="247"/>
      <c r="G1" s="247"/>
      <c r="H1" s="247"/>
      <c r="I1" s="122"/>
    </row>
    <row r="2" spans="1:10" s="115" customFormat="1" ht="22.5" customHeight="1" x14ac:dyDescent="0.3">
      <c r="A2" s="110"/>
      <c r="B2" s="251"/>
    </row>
    <row r="3" spans="1:10" ht="7.5" customHeight="1" x14ac:dyDescent="0.3">
      <c r="C3" s="115"/>
    </row>
    <row r="4" spans="1:10" ht="36" customHeight="1" thickBot="1" x14ac:dyDescent="0.35">
      <c r="B4" s="254" t="str">
        <f ca="1">' '!A100</f>
        <v>Nr.</v>
      </c>
      <c r="C4" s="255" t="str">
        <f ca="1">' '!A101</f>
        <v>Risiko</v>
      </c>
      <c r="D4" s="255" t="str">
        <f ca="1">' '!A104</f>
        <v>Schadens-ausmass</v>
      </c>
      <c r="E4" s="942" t="str">
        <f ca="1">' '!A103</f>
        <v>Eintretens-wahrscheinlich-keit</v>
      </c>
      <c r="F4" s="255" t="str">
        <f ca="1">' '!A102</f>
        <v>Auswirkungen</v>
      </c>
      <c r="G4" s="255" t="str">
        <f ca="1">' '!A105</f>
        <v>Trend</v>
      </c>
      <c r="H4" s="255" t="str">
        <f ca="1">' '!A106</f>
        <v>Mögliche Massnahmen</v>
      </c>
      <c r="I4" s="256" t="str">
        <f ca="1">' '!A107</f>
        <v>Status</v>
      </c>
    </row>
    <row r="5" spans="1:10" ht="23.4" x14ac:dyDescent="0.3">
      <c r="B5" s="943" t="s">
        <v>341</v>
      </c>
      <c r="C5" s="944"/>
      <c r="D5" s="491">
        <v>3</v>
      </c>
      <c r="E5" s="491">
        <v>9</v>
      </c>
      <c r="F5" s="945"/>
      <c r="G5" s="946">
        <v>3</v>
      </c>
      <c r="H5" s="945"/>
      <c r="I5" s="947">
        <v>1</v>
      </c>
      <c r="J5" s="948">
        <v>1</v>
      </c>
    </row>
    <row r="6" spans="1:10" ht="23.4" x14ac:dyDescent="0.3">
      <c r="B6" s="949" t="s">
        <v>342</v>
      </c>
      <c r="C6" s="945"/>
      <c r="D6" s="491">
        <v>8</v>
      </c>
      <c r="E6" s="491">
        <v>10</v>
      </c>
      <c r="F6" s="950"/>
      <c r="G6" s="951">
        <v>2</v>
      </c>
      <c r="H6" s="950"/>
      <c r="I6" s="952">
        <v>3</v>
      </c>
      <c r="J6" s="953">
        <v>1</v>
      </c>
    </row>
    <row r="7" spans="1:10" ht="23.4" x14ac:dyDescent="0.3">
      <c r="B7" s="954" t="s">
        <v>343</v>
      </c>
      <c r="C7" s="955"/>
      <c r="D7" s="491"/>
      <c r="E7" s="491"/>
      <c r="F7" s="956"/>
      <c r="G7" s="957"/>
      <c r="H7" s="956"/>
      <c r="I7" s="958"/>
      <c r="J7" s="953">
        <v>1</v>
      </c>
    </row>
    <row r="8" spans="1:10" ht="23.4" x14ac:dyDescent="0.3">
      <c r="B8" s="959" t="s">
        <v>344</v>
      </c>
      <c r="C8" s="960"/>
      <c r="D8" s="491"/>
      <c r="E8" s="491"/>
      <c r="F8" s="961"/>
      <c r="G8" s="962"/>
      <c r="H8" s="961"/>
      <c r="I8" s="963"/>
      <c r="J8" s="953">
        <v>1</v>
      </c>
    </row>
    <row r="9" spans="1:10" ht="23.4" x14ac:dyDescent="0.3">
      <c r="B9" s="964" t="s">
        <v>345</v>
      </c>
      <c r="C9" s="950"/>
      <c r="D9" s="491"/>
      <c r="E9" s="491"/>
      <c r="F9" s="965"/>
      <c r="G9" s="966"/>
      <c r="H9" s="965"/>
      <c r="I9" s="967"/>
      <c r="J9" s="953">
        <v>1</v>
      </c>
    </row>
    <row r="10" spans="1:10" ht="23.4" x14ac:dyDescent="0.3">
      <c r="B10" s="968" t="s">
        <v>346</v>
      </c>
      <c r="C10" s="969"/>
      <c r="D10" s="491"/>
      <c r="E10" s="491"/>
      <c r="F10" s="970"/>
      <c r="G10" s="971"/>
      <c r="H10" s="970"/>
      <c r="I10" s="972"/>
      <c r="J10" s="953">
        <v>1</v>
      </c>
    </row>
    <row r="11" spans="1:10" ht="23.4" x14ac:dyDescent="0.3">
      <c r="B11" s="973" t="s">
        <v>347</v>
      </c>
      <c r="C11" s="974"/>
      <c r="D11" s="491"/>
      <c r="E11" s="491"/>
      <c r="F11" s="960"/>
      <c r="G11" s="975"/>
      <c r="H11" s="976"/>
      <c r="I11" s="977"/>
      <c r="J11" s="953">
        <v>1</v>
      </c>
    </row>
    <row r="12" spans="1:10" ht="23.4" x14ac:dyDescent="0.3">
      <c r="B12" s="978" t="s">
        <v>348</v>
      </c>
      <c r="C12" s="979"/>
      <c r="D12" s="491"/>
      <c r="E12" s="491"/>
      <c r="F12" s="980"/>
      <c r="G12" s="981"/>
      <c r="H12" s="982"/>
      <c r="I12" s="983"/>
      <c r="J12" s="953">
        <v>1</v>
      </c>
    </row>
    <row r="13" spans="1:10" ht="23.4" x14ac:dyDescent="0.3">
      <c r="B13" s="984" t="s">
        <v>349</v>
      </c>
      <c r="C13" s="985"/>
      <c r="D13" s="491"/>
      <c r="E13" s="491"/>
      <c r="F13" s="986"/>
      <c r="G13" s="987"/>
      <c r="H13" s="986"/>
      <c r="I13" s="988"/>
      <c r="J13" s="953">
        <v>1</v>
      </c>
    </row>
    <row r="14" spans="1:10" ht="23.4" x14ac:dyDescent="0.3">
      <c r="B14" s="989" t="s">
        <v>350</v>
      </c>
      <c r="C14" s="965"/>
      <c r="D14" s="491"/>
      <c r="E14" s="491"/>
      <c r="F14" s="986"/>
      <c r="G14" s="987"/>
      <c r="H14" s="986"/>
      <c r="I14" s="988"/>
      <c r="J14" s="953">
        <v>1</v>
      </c>
    </row>
    <row r="15" spans="1:10" ht="23.4" x14ac:dyDescent="0.3">
      <c r="B15" s="990" t="s">
        <v>351</v>
      </c>
      <c r="C15" s="976"/>
      <c r="D15" s="491"/>
      <c r="E15" s="491"/>
      <c r="F15" s="986"/>
      <c r="G15" s="987"/>
      <c r="H15" s="986"/>
      <c r="I15" s="988"/>
      <c r="J15" s="953">
        <v>1</v>
      </c>
    </row>
    <row r="16" spans="1:10" ht="23.4" x14ac:dyDescent="0.3">
      <c r="B16" s="991" t="s">
        <v>352</v>
      </c>
      <c r="C16" s="970"/>
      <c r="D16" s="491"/>
      <c r="E16" s="491"/>
      <c r="F16" s="986"/>
      <c r="G16" s="987"/>
      <c r="H16" s="986"/>
      <c r="I16" s="988"/>
      <c r="J16" s="953">
        <v>1</v>
      </c>
    </row>
    <row r="17" spans="2:10" ht="23.4" x14ac:dyDescent="0.3">
      <c r="B17" s="992" t="s">
        <v>411</v>
      </c>
      <c r="C17" s="993"/>
      <c r="D17" s="491"/>
      <c r="E17" s="491"/>
      <c r="F17" s="986"/>
      <c r="G17" s="987"/>
      <c r="H17" s="986"/>
      <c r="I17" s="988"/>
      <c r="J17" s="953">
        <v>1</v>
      </c>
    </row>
    <row r="18" spans="2:10" ht="23.4" x14ac:dyDescent="0.3">
      <c r="B18" s="994" t="s">
        <v>412</v>
      </c>
      <c r="C18" s="995"/>
      <c r="D18" s="491"/>
      <c r="E18" s="491"/>
      <c r="F18" s="986"/>
      <c r="G18" s="987"/>
      <c r="H18" s="986"/>
      <c r="I18" s="988"/>
      <c r="J18" s="953">
        <v>1</v>
      </c>
    </row>
    <row r="19" spans="2:10" ht="24" thickBot="1" x14ac:dyDescent="0.35">
      <c r="B19" s="996" t="s">
        <v>413</v>
      </c>
      <c r="C19" s="997"/>
      <c r="D19" s="495"/>
      <c r="E19" s="495"/>
      <c r="F19" s="998"/>
      <c r="G19" s="999"/>
      <c r="H19" s="998"/>
      <c r="I19" s="1000"/>
      <c r="J19" s="1001">
        <v>1</v>
      </c>
    </row>
    <row r="20" spans="2:10" x14ac:dyDescent="0.3">
      <c r="B20" s="74" t="s">
        <v>2103</v>
      </c>
      <c r="C20" s="97"/>
    </row>
    <row r="49" spans="1:8" x14ac:dyDescent="0.3">
      <c r="H49" s="1002"/>
    </row>
    <row r="56" spans="1:8" ht="0.9" customHeight="1" x14ac:dyDescent="0.3">
      <c r="A56" s="277"/>
    </row>
    <row r="57" spans="1:8" x14ac:dyDescent="0.3">
      <c r="B57" s="97"/>
      <c r="C57" s="97"/>
    </row>
    <row r="66" spans="1:6" ht="15.6" x14ac:dyDescent="0.3">
      <c r="F66" s="749"/>
    </row>
    <row r="72" spans="1:6" x14ac:dyDescent="0.3">
      <c r="D72" s="280"/>
    </row>
    <row r="73" spans="1:6" x14ac:dyDescent="0.3">
      <c r="D73" s="115"/>
    </row>
    <row r="74" spans="1:6" x14ac:dyDescent="0.3">
      <c r="D74" s="115"/>
    </row>
    <row r="75" spans="1:6" x14ac:dyDescent="0.3">
      <c r="D75" s="115"/>
    </row>
    <row r="76" spans="1:6" x14ac:dyDescent="0.3">
      <c r="D76" s="115"/>
    </row>
    <row r="77" spans="1:6" x14ac:dyDescent="0.3">
      <c r="D77" s="115"/>
    </row>
    <row r="78" spans="1:6" x14ac:dyDescent="0.3">
      <c r="A78" s="277"/>
      <c r="D78" s="115"/>
    </row>
    <row r="79" spans="1:6" x14ac:dyDescent="0.3">
      <c r="D79" s="115"/>
    </row>
    <row r="80" spans="1:6" x14ac:dyDescent="0.3">
      <c r="D80" s="115"/>
    </row>
    <row r="81" spans="4:4" x14ac:dyDescent="0.3">
      <c r="D81" s="115"/>
    </row>
    <row r="82" spans="4:4" x14ac:dyDescent="0.3">
      <c r="D82" s="115"/>
    </row>
    <row r="83" spans="4:4" x14ac:dyDescent="0.3">
      <c r="D83" s="115"/>
    </row>
    <row r="84" spans="4:4" x14ac:dyDescent="0.3">
      <c r="D84" s="115"/>
    </row>
    <row r="85" spans="4:4" x14ac:dyDescent="0.3">
      <c r="D85" s="115"/>
    </row>
    <row r="86" spans="4:4" x14ac:dyDescent="0.3">
      <c r="D86" s="115"/>
    </row>
    <row r="87" spans="4:4" x14ac:dyDescent="0.3">
      <c r="D87" s="115"/>
    </row>
    <row r="88" spans="4:4" x14ac:dyDescent="0.3">
      <c r="D88" s="115"/>
    </row>
    <row r="89" spans="4:4" x14ac:dyDescent="0.3">
      <c r="D89" s="115"/>
    </row>
    <row r="90" spans="4:4" x14ac:dyDescent="0.3">
      <c r="D90" s="115"/>
    </row>
    <row r="91" spans="4:4" x14ac:dyDescent="0.3">
      <c r="D91" s="115"/>
    </row>
  </sheetData>
  <sheetProtection sheet="1" objects="1" scenarios="1" formatCells="0" formatColumns="0" formatRows="0" insertHyperlinks="0" selectLockedCells="1" sort="0" autoFilter="0"/>
  <conditionalFormatting sqref="D5:D19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14:D18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5:F19">
    <cfRule type="expression" dxfId="130" priority="3">
      <formula>MOD(ROW(A1),2)=0</formula>
    </cfRule>
    <cfRule type="expression" dxfId="129" priority="4">
      <formula>MOD(ROW(A2),2)=0</formula>
    </cfRule>
  </conditionalFormatting>
  <conditionalFormatting sqref="E5:E19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5:G19">
    <cfRule type="iconSet" priority="6">
      <iconSet iconSet="3ArrowsGray" showValue="0">
        <cfvo type="percent" val="0"/>
        <cfvo type="num" val="2"/>
        <cfvo type="num" val="3"/>
      </iconSet>
    </cfRule>
  </conditionalFormatting>
  <conditionalFormatting sqref="G5:I19">
    <cfRule type="expression" dxfId="128" priority="9">
      <formula>MOD(ROW(E1),2)=0</formula>
    </cfRule>
    <cfRule type="expression" dxfId="127" priority="10">
      <formula>MOD(ROW(E2),2)=0</formula>
    </cfRule>
  </conditionalFormatting>
  <dataValidations disablePrompts="1" count="2">
    <dataValidation type="list" allowBlank="1" showInputMessage="1" showErrorMessage="1" sqref="G5:G56 I5:I19" xr:uid="{00000000-0002-0000-0300-000000000000}">
      <formula1>"1,2,3"</formula1>
    </dataValidation>
    <dataValidation type="list" allowBlank="1" showInputMessage="1" showErrorMessage="1" sqref="D5:E56" xr:uid="{00000000-0002-0000-0300-000001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5A8C5979-6B82-47E0-AB49-BB814A844D54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I5:I19</xm:sqref>
        </x14:conditionalFormatting>
        <x14:conditionalFormatting xmlns:xm="http://schemas.microsoft.com/office/excel/2006/main">
          <x14:cfRule type="iconSet" priority="8" id="{E4F53B75-7003-4747-BD23-14FF7F56A003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I14:I18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39">
    <tabColor theme="0" tint="-0.34998626667073579"/>
    <pageSetUpPr fitToPage="1"/>
  </sheetPr>
  <dimension ref="A1:Q87"/>
  <sheetViews>
    <sheetView showGridLines="0" zoomScaleNormal="100" workbookViewId="0">
      <pane ySplit="1" topLeftCell="A2" activePane="bottomLeft" state="frozen"/>
      <selection activeCell="N13" sqref="N13"/>
      <selection pane="bottomLeft" activeCell="D5" sqref="D5"/>
    </sheetView>
  </sheetViews>
  <sheetFormatPr baseColWidth="10" defaultColWidth="12.5546875" defaultRowHeight="13.8" x14ac:dyDescent="0.3"/>
  <cols>
    <col min="1" max="1" width="7" style="97" customWidth="1"/>
    <col min="2" max="2" width="3.109375" style="66" customWidth="1"/>
    <col min="3" max="3" width="3.33203125" style="898" customWidth="1"/>
    <col min="4" max="4" width="36.88671875" style="898" customWidth="1"/>
    <col min="5" max="6" width="4.5546875" style="898" customWidth="1"/>
    <col min="7" max="7" width="1.44140625" style="898" customWidth="1"/>
    <col min="8" max="8" width="38" style="898" customWidth="1"/>
    <col min="9" max="9" width="47.33203125" style="898" customWidth="1"/>
    <col min="10" max="10" width="9.33203125" style="898" customWidth="1"/>
    <col min="11" max="11" width="7" style="898" customWidth="1"/>
    <col min="12" max="20" width="4" style="898" customWidth="1"/>
    <col min="21" max="16384" width="12.5546875" style="898"/>
  </cols>
  <sheetData>
    <row r="1" spans="1:17" s="80" customFormat="1" ht="45" customHeight="1" x14ac:dyDescent="0.3">
      <c r="A1" s="132"/>
      <c r="B1" s="81" t="str">
        <f ca="1">' '!A109</f>
        <v>B E N C H M A R K I N G</v>
      </c>
      <c r="C1" s="81"/>
      <c r="D1" s="81"/>
      <c r="E1" s="81"/>
      <c r="F1" s="81"/>
      <c r="G1" s="81"/>
      <c r="H1" s="81"/>
      <c r="I1" s="82"/>
      <c r="J1" s="83"/>
      <c r="K1" s="83"/>
      <c r="L1" s="83"/>
    </row>
    <row r="2" spans="1:17" s="80" customFormat="1" ht="15.75" customHeight="1" x14ac:dyDescent="0.3">
      <c r="A2" s="66"/>
      <c r="B2" s="87"/>
      <c r="C2" s="83"/>
      <c r="D2" s="215"/>
      <c r="E2" s="83"/>
      <c r="F2" s="83"/>
      <c r="G2" s="83"/>
      <c r="H2" s="83"/>
      <c r="I2" s="83"/>
      <c r="J2" s="83"/>
      <c r="K2" s="83"/>
      <c r="L2" s="83"/>
    </row>
    <row r="3" spans="1:17" ht="61.5" customHeight="1" x14ac:dyDescent="0.4">
      <c r="A3" s="139"/>
      <c r="B3" s="1012" t="str">
        <f ca="1">' '!A110</f>
        <v>Status</v>
      </c>
      <c r="C3" s="898" t="str">
        <f ca="1">' '!A111</f>
        <v>Nr.</v>
      </c>
      <c r="D3" s="899" t="str">
        <f ca="1">' '!A112</f>
        <v>Vergleichsobjekte</v>
      </c>
      <c r="E3" s="900" t="str">
        <f ca="1">' '!A114</f>
        <v>Wir</v>
      </c>
      <c r="F3" s="901" t="str">
        <f ca="1">' '!A115</f>
        <v>Konkurrenz</v>
      </c>
      <c r="H3" s="902"/>
      <c r="I3" s="899" t="str">
        <f ca="1">' '!A113</f>
        <v>Bemerkungen</v>
      </c>
    </row>
    <row r="4" spans="1:17" ht="11.25" customHeight="1" x14ac:dyDescent="0.4">
      <c r="B4" s="1012"/>
      <c r="D4" s="899"/>
      <c r="E4" s="903" t="s">
        <v>414</v>
      </c>
      <c r="F4" s="904" t="s">
        <v>415</v>
      </c>
      <c r="H4" s="902"/>
      <c r="I4" s="905"/>
    </row>
    <row r="5" spans="1:17" ht="18" x14ac:dyDescent="0.3">
      <c r="A5" s="351">
        <f>ABS(E5-F5)</f>
        <v>1</v>
      </c>
      <c r="B5" s="906">
        <f>IF(A5&gt;=3,3,
IF(A5&gt;=2,2,1))</f>
        <v>1</v>
      </c>
      <c r="C5" s="907">
        <v>1</v>
      </c>
      <c r="D5" s="908" t="s">
        <v>416</v>
      </c>
      <c r="E5" s="909">
        <v>2</v>
      </c>
      <c r="F5" s="910">
        <v>1</v>
      </c>
      <c r="G5" s="911"/>
      <c r="H5" s="912"/>
      <c r="I5" s="913"/>
      <c r="J5" s="914"/>
    </row>
    <row r="6" spans="1:17" ht="18" x14ac:dyDescent="0.3">
      <c r="A6" s="351">
        <f t="shared" ref="A6:A34" si="0">ABS(E6-F6)</f>
        <v>2</v>
      </c>
      <c r="B6" s="915">
        <f t="shared" ref="B6:B34" si="1">IF(A6&gt;=3,3,
IF(A6&gt;=2,2,1))</f>
        <v>2</v>
      </c>
      <c r="C6" s="916">
        <v>2</v>
      </c>
      <c r="D6" s="917" t="s">
        <v>417</v>
      </c>
      <c r="E6" s="918">
        <v>1</v>
      </c>
      <c r="F6" s="919">
        <v>3</v>
      </c>
      <c r="G6" s="920"/>
      <c r="H6" s="921"/>
      <c r="I6" s="922"/>
      <c r="Q6" s="66"/>
    </row>
    <row r="7" spans="1:17" ht="18" x14ac:dyDescent="0.3">
      <c r="A7" s="351">
        <f t="shared" si="0"/>
        <v>1</v>
      </c>
      <c r="B7" s="915">
        <f t="shared" si="1"/>
        <v>1</v>
      </c>
      <c r="C7" s="916">
        <v>3</v>
      </c>
      <c r="D7" s="917"/>
      <c r="E7" s="918">
        <v>1</v>
      </c>
      <c r="F7" s="919">
        <v>2</v>
      </c>
      <c r="G7" s="920"/>
      <c r="H7" s="921"/>
      <c r="I7" s="922"/>
      <c r="Q7" s="66"/>
    </row>
    <row r="8" spans="1:17" ht="18" x14ac:dyDescent="0.3">
      <c r="A8" s="351">
        <f t="shared" si="0"/>
        <v>2</v>
      </c>
      <c r="B8" s="915">
        <f t="shared" si="1"/>
        <v>2</v>
      </c>
      <c r="C8" s="916">
        <v>4</v>
      </c>
      <c r="D8" s="917"/>
      <c r="E8" s="918">
        <v>-1</v>
      </c>
      <c r="F8" s="919">
        <v>1</v>
      </c>
      <c r="G8" s="920"/>
      <c r="H8" s="921"/>
      <c r="I8" s="922"/>
      <c r="Q8" s="66"/>
    </row>
    <row r="9" spans="1:17" ht="18" x14ac:dyDescent="0.3">
      <c r="A9" s="351">
        <f t="shared" si="0"/>
        <v>4</v>
      </c>
      <c r="B9" s="915">
        <f t="shared" si="1"/>
        <v>3</v>
      </c>
      <c r="C9" s="916">
        <v>5</v>
      </c>
      <c r="D9" s="917"/>
      <c r="E9" s="918">
        <v>-3</v>
      </c>
      <c r="F9" s="919">
        <v>1</v>
      </c>
      <c r="G9" s="920"/>
      <c r="H9" s="921"/>
      <c r="I9" s="922"/>
      <c r="Q9" s="66"/>
    </row>
    <row r="10" spans="1:17" ht="18" x14ac:dyDescent="0.3">
      <c r="A10" s="351">
        <f t="shared" si="0"/>
        <v>0</v>
      </c>
      <c r="B10" s="915">
        <f t="shared" si="1"/>
        <v>1</v>
      </c>
      <c r="C10" s="916">
        <v>6</v>
      </c>
      <c r="D10" s="917"/>
      <c r="E10" s="918">
        <v>1</v>
      </c>
      <c r="F10" s="919">
        <v>1</v>
      </c>
      <c r="G10" s="920"/>
      <c r="H10" s="921"/>
      <c r="I10" s="922"/>
      <c r="Q10" s="66"/>
    </row>
    <row r="11" spans="1:17" ht="18" x14ac:dyDescent="0.3">
      <c r="A11" s="351">
        <f t="shared" si="0"/>
        <v>4</v>
      </c>
      <c r="B11" s="915">
        <f t="shared" si="1"/>
        <v>3</v>
      </c>
      <c r="C11" s="916">
        <v>7</v>
      </c>
      <c r="D11" s="917"/>
      <c r="E11" s="918">
        <v>-3</v>
      </c>
      <c r="F11" s="919">
        <v>1</v>
      </c>
      <c r="G11" s="920"/>
      <c r="H11" s="921"/>
      <c r="I11" s="922"/>
      <c r="Q11" s="66"/>
    </row>
    <row r="12" spans="1:17" ht="18" x14ac:dyDescent="0.3">
      <c r="A12" s="351">
        <f t="shared" si="0"/>
        <v>2</v>
      </c>
      <c r="B12" s="915">
        <f t="shared" si="1"/>
        <v>2</v>
      </c>
      <c r="C12" s="916">
        <v>8</v>
      </c>
      <c r="D12" s="917"/>
      <c r="E12" s="918">
        <v>3</v>
      </c>
      <c r="F12" s="919">
        <v>1</v>
      </c>
      <c r="G12" s="920"/>
      <c r="H12" s="921"/>
      <c r="I12" s="922"/>
      <c r="Q12" s="66"/>
    </row>
    <row r="13" spans="1:17" ht="18" x14ac:dyDescent="0.3">
      <c r="A13" s="351">
        <f t="shared" si="0"/>
        <v>0</v>
      </c>
      <c r="B13" s="915">
        <f t="shared" si="1"/>
        <v>1</v>
      </c>
      <c r="C13" s="916">
        <v>9</v>
      </c>
      <c r="D13" s="917"/>
      <c r="E13" s="918">
        <v>1</v>
      </c>
      <c r="F13" s="919">
        <v>1</v>
      </c>
      <c r="G13" s="920"/>
      <c r="H13" s="921"/>
      <c r="I13" s="922"/>
      <c r="Q13" s="66"/>
    </row>
    <row r="14" spans="1:17" ht="18" x14ac:dyDescent="0.3">
      <c r="A14" s="351">
        <f t="shared" si="0"/>
        <v>2</v>
      </c>
      <c r="B14" s="915">
        <f t="shared" si="1"/>
        <v>2</v>
      </c>
      <c r="C14" s="916">
        <v>10</v>
      </c>
      <c r="D14" s="917"/>
      <c r="E14" s="918">
        <v>-1</v>
      </c>
      <c r="F14" s="919">
        <v>1</v>
      </c>
      <c r="G14" s="920"/>
      <c r="H14" s="921"/>
      <c r="I14" s="922"/>
      <c r="Q14" s="66"/>
    </row>
    <row r="15" spans="1:17" ht="18" x14ac:dyDescent="0.3">
      <c r="A15" s="351">
        <f t="shared" si="0"/>
        <v>1</v>
      </c>
      <c r="B15" s="915">
        <f t="shared" si="1"/>
        <v>1</v>
      </c>
      <c r="C15" s="916">
        <v>11</v>
      </c>
      <c r="D15" s="923"/>
      <c r="E15" s="918">
        <v>2</v>
      </c>
      <c r="F15" s="919">
        <v>1</v>
      </c>
      <c r="G15" s="920"/>
      <c r="H15" s="921"/>
      <c r="I15" s="922"/>
      <c r="Q15" s="66"/>
    </row>
    <row r="16" spans="1:17" ht="18" x14ac:dyDescent="0.3">
      <c r="A16" s="351">
        <f t="shared" si="0"/>
        <v>2</v>
      </c>
      <c r="B16" s="915">
        <f t="shared" si="1"/>
        <v>2</v>
      </c>
      <c r="C16" s="916">
        <v>12</v>
      </c>
      <c r="D16" s="917"/>
      <c r="E16" s="918">
        <v>-1</v>
      </c>
      <c r="F16" s="919">
        <v>1</v>
      </c>
      <c r="G16" s="920"/>
      <c r="H16" s="921"/>
      <c r="I16" s="922"/>
      <c r="Q16" s="66"/>
    </row>
    <row r="17" spans="1:17" ht="18" x14ac:dyDescent="0.3">
      <c r="A17" s="351">
        <f t="shared" si="0"/>
        <v>1</v>
      </c>
      <c r="B17" s="915">
        <f t="shared" si="1"/>
        <v>1</v>
      </c>
      <c r="C17" s="916">
        <v>13</v>
      </c>
      <c r="D17" s="917"/>
      <c r="E17" s="918">
        <v>0</v>
      </c>
      <c r="F17" s="919">
        <v>1</v>
      </c>
      <c r="G17" s="920"/>
      <c r="H17" s="921"/>
      <c r="I17" s="922"/>
      <c r="Q17" s="66"/>
    </row>
    <row r="18" spans="1:17" ht="18" x14ac:dyDescent="0.3">
      <c r="A18" s="351">
        <f t="shared" si="0"/>
        <v>3</v>
      </c>
      <c r="B18" s="915">
        <f t="shared" si="1"/>
        <v>3</v>
      </c>
      <c r="C18" s="916">
        <v>14</v>
      </c>
      <c r="D18" s="917"/>
      <c r="E18" s="918">
        <v>-2</v>
      </c>
      <c r="F18" s="919">
        <v>1</v>
      </c>
      <c r="G18" s="920"/>
      <c r="H18" s="921"/>
      <c r="I18" s="922"/>
      <c r="Q18" s="66"/>
    </row>
    <row r="19" spans="1:17" ht="18" x14ac:dyDescent="0.3">
      <c r="A19" s="351">
        <f t="shared" si="0"/>
        <v>0</v>
      </c>
      <c r="B19" s="915">
        <f t="shared" si="1"/>
        <v>1</v>
      </c>
      <c r="C19" s="916">
        <v>15</v>
      </c>
      <c r="D19" s="917"/>
      <c r="E19" s="918">
        <v>0</v>
      </c>
      <c r="F19" s="919">
        <v>0</v>
      </c>
      <c r="G19" s="920"/>
      <c r="H19" s="921"/>
      <c r="I19" s="922"/>
      <c r="Q19" s="66"/>
    </row>
    <row r="20" spans="1:17" ht="18" x14ac:dyDescent="0.3">
      <c r="A20" s="351">
        <f t="shared" si="0"/>
        <v>0</v>
      </c>
      <c r="B20" s="915">
        <f t="shared" si="1"/>
        <v>1</v>
      </c>
      <c r="C20" s="916">
        <v>16</v>
      </c>
      <c r="D20" s="917"/>
      <c r="E20" s="918">
        <v>0</v>
      </c>
      <c r="F20" s="919">
        <v>0</v>
      </c>
      <c r="G20" s="920"/>
      <c r="H20" s="921"/>
      <c r="I20" s="922"/>
      <c r="Q20" s="66"/>
    </row>
    <row r="21" spans="1:17" ht="18" x14ac:dyDescent="0.3">
      <c r="A21" s="351">
        <f t="shared" si="0"/>
        <v>0</v>
      </c>
      <c r="B21" s="915">
        <f t="shared" si="1"/>
        <v>1</v>
      </c>
      <c r="C21" s="916">
        <v>17</v>
      </c>
      <c r="D21" s="917"/>
      <c r="E21" s="918">
        <v>0</v>
      </c>
      <c r="F21" s="919">
        <v>0</v>
      </c>
      <c r="G21" s="920"/>
      <c r="H21" s="921"/>
      <c r="I21" s="922"/>
      <c r="Q21" s="66"/>
    </row>
    <row r="22" spans="1:17" ht="18" x14ac:dyDescent="0.3">
      <c r="A22" s="351">
        <f t="shared" si="0"/>
        <v>0</v>
      </c>
      <c r="B22" s="915">
        <f t="shared" si="1"/>
        <v>1</v>
      </c>
      <c r="C22" s="916">
        <v>18</v>
      </c>
      <c r="D22" s="917"/>
      <c r="E22" s="918">
        <v>0</v>
      </c>
      <c r="F22" s="919">
        <v>0</v>
      </c>
      <c r="G22" s="920"/>
      <c r="H22" s="921"/>
      <c r="I22" s="922"/>
      <c r="Q22" s="66"/>
    </row>
    <row r="23" spans="1:17" ht="18" x14ac:dyDescent="0.3">
      <c r="A23" s="351">
        <f t="shared" si="0"/>
        <v>0</v>
      </c>
      <c r="B23" s="915">
        <f t="shared" si="1"/>
        <v>1</v>
      </c>
      <c r="C23" s="916">
        <v>19</v>
      </c>
      <c r="D23" s="917"/>
      <c r="E23" s="918">
        <v>0</v>
      </c>
      <c r="F23" s="919">
        <v>0</v>
      </c>
      <c r="G23" s="920"/>
      <c r="H23" s="921"/>
      <c r="I23" s="922"/>
      <c r="Q23" s="66"/>
    </row>
    <row r="24" spans="1:17" ht="18" x14ac:dyDescent="0.3">
      <c r="A24" s="351">
        <f t="shared" si="0"/>
        <v>0</v>
      </c>
      <c r="B24" s="915">
        <f t="shared" si="1"/>
        <v>1</v>
      </c>
      <c r="C24" s="916">
        <v>20</v>
      </c>
      <c r="D24" s="917"/>
      <c r="E24" s="918">
        <v>0</v>
      </c>
      <c r="F24" s="919">
        <v>0</v>
      </c>
      <c r="G24" s="920"/>
      <c r="H24" s="921"/>
      <c r="I24" s="922"/>
      <c r="Q24" s="66"/>
    </row>
    <row r="25" spans="1:17" ht="18" x14ac:dyDescent="0.3">
      <c r="A25" s="351">
        <f t="shared" si="0"/>
        <v>0</v>
      </c>
      <c r="B25" s="915">
        <f t="shared" si="1"/>
        <v>1</v>
      </c>
      <c r="C25" s="916">
        <v>21</v>
      </c>
      <c r="D25" s="917"/>
      <c r="E25" s="918">
        <v>0</v>
      </c>
      <c r="F25" s="919">
        <v>0</v>
      </c>
      <c r="G25" s="920"/>
      <c r="H25" s="921"/>
      <c r="I25" s="922"/>
      <c r="Q25" s="66"/>
    </row>
    <row r="26" spans="1:17" ht="18" x14ac:dyDescent="0.3">
      <c r="A26" s="351">
        <f t="shared" si="0"/>
        <v>0</v>
      </c>
      <c r="B26" s="915">
        <f t="shared" si="1"/>
        <v>1</v>
      </c>
      <c r="C26" s="916">
        <v>22</v>
      </c>
      <c r="D26" s="917"/>
      <c r="E26" s="918">
        <v>0</v>
      </c>
      <c r="F26" s="919">
        <v>0</v>
      </c>
      <c r="G26" s="920"/>
      <c r="H26" s="921"/>
      <c r="I26" s="922"/>
      <c r="Q26" s="66"/>
    </row>
    <row r="27" spans="1:17" ht="18" x14ac:dyDescent="0.3">
      <c r="A27" s="351">
        <f t="shared" si="0"/>
        <v>0</v>
      </c>
      <c r="B27" s="915">
        <f t="shared" si="1"/>
        <v>1</v>
      </c>
      <c r="C27" s="916">
        <v>23</v>
      </c>
      <c r="D27" s="917"/>
      <c r="E27" s="918">
        <v>0</v>
      </c>
      <c r="F27" s="919">
        <v>0</v>
      </c>
      <c r="G27" s="920"/>
      <c r="H27" s="921"/>
      <c r="I27" s="922"/>
    </row>
    <row r="28" spans="1:17" ht="18" x14ac:dyDescent="0.3">
      <c r="A28" s="351">
        <f t="shared" si="0"/>
        <v>0</v>
      </c>
      <c r="B28" s="915">
        <f t="shared" si="1"/>
        <v>1</v>
      </c>
      <c r="C28" s="916">
        <v>24</v>
      </c>
      <c r="D28" s="917"/>
      <c r="E28" s="918">
        <v>0</v>
      </c>
      <c r="F28" s="919">
        <v>0</v>
      </c>
      <c r="G28" s="920"/>
      <c r="H28" s="921"/>
      <c r="I28" s="922"/>
    </row>
    <row r="29" spans="1:17" ht="18" x14ac:dyDescent="0.3">
      <c r="A29" s="351">
        <f t="shared" si="0"/>
        <v>0</v>
      </c>
      <c r="B29" s="915">
        <f t="shared" si="1"/>
        <v>1</v>
      </c>
      <c r="C29" s="916">
        <v>25</v>
      </c>
      <c r="D29" s="917"/>
      <c r="E29" s="918">
        <v>0</v>
      </c>
      <c r="F29" s="919">
        <v>0</v>
      </c>
      <c r="G29" s="920"/>
      <c r="H29" s="921"/>
      <c r="I29" s="922"/>
    </row>
    <row r="30" spans="1:17" ht="18" x14ac:dyDescent="0.3">
      <c r="A30" s="351">
        <f t="shared" si="0"/>
        <v>0</v>
      </c>
      <c r="B30" s="915">
        <f t="shared" si="1"/>
        <v>1</v>
      </c>
      <c r="C30" s="916">
        <v>26</v>
      </c>
      <c r="D30" s="917"/>
      <c r="E30" s="918">
        <v>0</v>
      </c>
      <c r="F30" s="919">
        <v>0</v>
      </c>
      <c r="G30" s="920"/>
      <c r="H30" s="921"/>
      <c r="I30" s="922"/>
    </row>
    <row r="31" spans="1:17" ht="18" x14ac:dyDescent="0.3">
      <c r="A31" s="351">
        <f t="shared" si="0"/>
        <v>0</v>
      </c>
      <c r="B31" s="915">
        <f t="shared" si="1"/>
        <v>1</v>
      </c>
      <c r="C31" s="916">
        <v>27</v>
      </c>
      <c r="D31" s="917"/>
      <c r="E31" s="918">
        <v>0</v>
      </c>
      <c r="F31" s="919">
        <v>0</v>
      </c>
      <c r="G31" s="920"/>
      <c r="H31" s="921"/>
      <c r="I31" s="922"/>
      <c r="J31" s="924"/>
      <c r="K31" s="924"/>
    </row>
    <row r="32" spans="1:17" ht="18" x14ac:dyDescent="0.3">
      <c r="A32" s="351">
        <f t="shared" si="0"/>
        <v>0</v>
      </c>
      <c r="B32" s="915">
        <f t="shared" si="1"/>
        <v>1</v>
      </c>
      <c r="C32" s="916">
        <v>28</v>
      </c>
      <c r="D32" s="917"/>
      <c r="E32" s="918">
        <v>0</v>
      </c>
      <c r="F32" s="919">
        <v>0</v>
      </c>
      <c r="G32" s="920"/>
      <c r="H32" s="921"/>
      <c r="I32" s="922"/>
      <c r="J32" s="925"/>
      <c r="K32" s="926"/>
    </row>
    <row r="33" spans="1:11" ht="18" x14ac:dyDescent="0.3">
      <c r="A33" s="351">
        <f t="shared" si="0"/>
        <v>0</v>
      </c>
      <c r="B33" s="915">
        <f t="shared" si="1"/>
        <v>1</v>
      </c>
      <c r="C33" s="916">
        <v>29</v>
      </c>
      <c r="D33" s="917"/>
      <c r="E33" s="918">
        <v>0</v>
      </c>
      <c r="F33" s="919">
        <v>0</v>
      </c>
      <c r="G33" s="920"/>
      <c r="H33" s="921"/>
      <c r="I33" s="922"/>
      <c r="J33" s="925"/>
      <c r="K33" s="926"/>
    </row>
    <row r="34" spans="1:11" ht="18" x14ac:dyDescent="0.3">
      <c r="A34" s="351">
        <f t="shared" si="0"/>
        <v>0</v>
      </c>
      <c r="B34" s="927">
        <f t="shared" si="1"/>
        <v>1</v>
      </c>
      <c r="C34" s="928">
        <v>30</v>
      </c>
      <c r="D34" s="929"/>
      <c r="E34" s="930">
        <v>0</v>
      </c>
      <c r="F34" s="931">
        <v>0</v>
      </c>
      <c r="G34" s="932"/>
      <c r="H34" s="933"/>
      <c r="I34" s="934"/>
      <c r="J34" s="925"/>
      <c r="K34" s="926"/>
    </row>
    <row r="35" spans="1:11" ht="18" x14ac:dyDescent="0.3">
      <c r="B35" s="74"/>
      <c r="C35" s="97" t="s">
        <v>2106</v>
      </c>
      <c r="D35" s="925"/>
      <c r="E35" s="935"/>
      <c r="F35" s="935"/>
      <c r="G35" s="936"/>
      <c r="H35" s="925"/>
      <c r="I35" s="937"/>
      <c r="J35" s="925"/>
      <c r="K35" s="926"/>
    </row>
    <row r="36" spans="1:11" ht="19.5" customHeight="1" x14ac:dyDescent="0.3">
      <c r="C36" s="938"/>
      <c r="D36" s="925"/>
      <c r="E36" s="935"/>
      <c r="F36" s="935"/>
      <c r="G36" s="936"/>
      <c r="H36" s="925"/>
      <c r="I36" s="937"/>
      <c r="J36" s="925"/>
      <c r="K36" s="926"/>
    </row>
    <row r="37" spans="1:11" ht="18" x14ac:dyDescent="0.3">
      <c r="C37" s="938"/>
      <c r="D37" s="925"/>
      <c r="E37" s="935"/>
      <c r="F37" s="935"/>
      <c r="G37" s="936"/>
      <c r="H37" s="925"/>
      <c r="I37" s="937"/>
      <c r="J37" s="925"/>
      <c r="K37" s="926"/>
    </row>
    <row r="38" spans="1:11" ht="18" x14ac:dyDescent="0.3">
      <c r="C38" s="938"/>
      <c r="D38" s="925"/>
      <c r="E38" s="935"/>
      <c r="F38" s="935"/>
      <c r="G38" s="936"/>
      <c r="H38" s="925"/>
      <c r="I38" s="937"/>
      <c r="J38" s="925"/>
      <c r="K38" s="926"/>
    </row>
    <row r="39" spans="1:11" ht="18" x14ac:dyDescent="0.3">
      <c r="C39" s="938"/>
      <c r="D39" s="925"/>
      <c r="E39" s="935"/>
      <c r="F39" s="935"/>
      <c r="G39" s="936"/>
      <c r="H39" s="925"/>
      <c r="I39" s="937"/>
      <c r="J39" s="925"/>
      <c r="K39" s="926"/>
    </row>
    <row r="40" spans="1:11" ht="18" x14ac:dyDescent="0.3">
      <c r="C40" s="938"/>
      <c r="D40" s="925"/>
      <c r="E40" s="935"/>
      <c r="F40" s="935"/>
      <c r="G40" s="936"/>
      <c r="H40" s="925"/>
      <c r="I40" s="937"/>
      <c r="J40" s="925"/>
      <c r="K40" s="926"/>
    </row>
    <row r="41" spans="1:11" ht="18" x14ac:dyDescent="0.3">
      <c r="C41" s="938"/>
      <c r="D41" s="925"/>
      <c r="E41" s="935"/>
      <c r="F41" s="935"/>
      <c r="G41" s="936"/>
      <c r="H41" s="925"/>
      <c r="I41" s="937"/>
      <c r="J41" s="925"/>
      <c r="K41" s="926"/>
    </row>
    <row r="42" spans="1:11" ht="18" x14ac:dyDescent="0.3">
      <c r="C42" s="938"/>
      <c r="D42" s="925"/>
      <c r="E42" s="935"/>
      <c r="F42" s="935"/>
      <c r="G42" s="936"/>
      <c r="H42" s="925"/>
      <c r="I42" s="937"/>
      <c r="J42" s="925"/>
      <c r="K42" s="926"/>
    </row>
    <row r="43" spans="1:11" ht="18" x14ac:dyDescent="0.3">
      <c r="C43" s="938"/>
      <c r="D43" s="925"/>
      <c r="E43" s="935"/>
      <c r="F43" s="935"/>
      <c r="G43" s="936"/>
      <c r="H43" s="925"/>
      <c r="I43" s="937"/>
      <c r="J43" s="925"/>
      <c r="K43" s="926"/>
    </row>
    <row r="44" spans="1:11" ht="18" x14ac:dyDescent="0.3">
      <c r="C44" s="938"/>
      <c r="D44" s="925"/>
      <c r="E44" s="935"/>
      <c r="F44" s="935"/>
      <c r="G44" s="936"/>
      <c r="H44" s="925"/>
      <c r="I44" s="937"/>
      <c r="J44" s="925"/>
      <c r="K44" s="926"/>
    </row>
    <row r="45" spans="1:11" ht="18" x14ac:dyDescent="0.3">
      <c r="C45" s="938"/>
      <c r="D45" s="925"/>
      <c r="E45" s="939"/>
      <c r="F45" s="939"/>
      <c r="G45" s="936"/>
      <c r="H45" s="925"/>
      <c r="I45" s="937"/>
      <c r="J45" s="925"/>
      <c r="K45" s="926"/>
    </row>
    <row r="46" spans="1:11" ht="402.75" customHeight="1" x14ac:dyDescent="0.3">
      <c r="C46" s="938"/>
      <c r="D46" s="925"/>
      <c r="E46" s="935"/>
      <c r="F46" s="935"/>
      <c r="G46" s="936"/>
      <c r="H46" s="925"/>
      <c r="I46" s="937"/>
      <c r="J46" s="925"/>
      <c r="K46" s="926"/>
    </row>
    <row r="47" spans="1:11" ht="18" x14ac:dyDescent="0.3">
      <c r="C47" s="938"/>
      <c r="D47" s="925"/>
      <c r="E47" s="935"/>
      <c r="F47" s="935"/>
      <c r="G47" s="936"/>
      <c r="H47" s="925"/>
      <c r="I47" s="937"/>
      <c r="J47" s="925"/>
      <c r="K47" s="926"/>
    </row>
    <row r="48" spans="1:11" ht="18" x14ac:dyDescent="0.3">
      <c r="C48" s="938"/>
      <c r="E48" s="935"/>
      <c r="F48" s="935"/>
      <c r="G48" s="936"/>
      <c r="H48" s="925"/>
      <c r="I48" s="937"/>
      <c r="J48" s="925"/>
      <c r="K48" s="926"/>
    </row>
    <row r="49" spans="3:11" ht="18" x14ac:dyDescent="0.3">
      <c r="C49" s="938"/>
      <c r="D49" s="925"/>
      <c r="E49" s="935"/>
      <c r="F49" s="935"/>
      <c r="G49" s="936"/>
      <c r="H49" s="925"/>
      <c r="I49" s="937"/>
      <c r="J49" s="925"/>
      <c r="K49" s="926"/>
    </row>
    <row r="50" spans="3:11" ht="18" x14ac:dyDescent="0.3">
      <c r="C50" s="938"/>
      <c r="D50" s="925"/>
      <c r="E50" s="935"/>
      <c r="F50" s="935"/>
      <c r="G50" s="936"/>
      <c r="H50" s="925"/>
      <c r="I50" s="937"/>
      <c r="J50" s="925"/>
      <c r="K50" s="926"/>
    </row>
    <row r="51" spans="3:11" ht="18" x14ac:dyDescent="0.3">
      <c r="C51" s="938"/>
      <c r="D51" s="925"/>
      <c r="E51" s="935"/>
      <c r="F51" s="935"/>
      <c r="G51" s="936"/>
      <c r="H51" s="925"/>
      <c r="I51" s="937"/>
      <c r="J51" s="925"/>
      <c r="K51" s="926"/>
    </row>
    <row r="52" spans="3:11" ht="18" x14ac:dyDescent="0.3">
      <c r="C52" s="938"/>
      <c r="D52" s="925"/>
      <c r="E52" s="935"/>
      <c r="F52" s="935"/>
      <c r="G52" s="936"/>
      <c r="H52" s="925"/>
      <c r="I52" s="937"/>
      <c r="J52" s="925"/>
      <c r="K52" s="926"/>
    </row>
    <row r="62" spans="3:11" ht="15.6" x14ac:dyDescent="0.3">
      <c r="H62" s="940"/>
      <c r="I62" s="940"/>
    </row>
    <row r="68" spans="5:6" x14ac:dyDescent="0.3">
      <c r="E68" s="941"/>
      <c r="F68" s="941"/>
    </row>
    <row r="69" spans="5:6" x14ac:dyDescent="0.3">
      <c r="E69" s="66"/>
      <c r="F69" s="66"/>
    </row>
    <row r="70" spans="5:6" x14ac:dyDescent="0.3">
      <c r="E70" s="66"/>
      <c r="F70" s="66"/>
    </row>
    <row r="71" spans="5:6" x14ac:dyDescent="0.3">
      <c r="E71" s="66"/>
      <c r="F71" s="66"/>
    </row>
    <row r="72" spans="5:6" x14ac:dyDescent="0.3">
      <c r="E72" s="66"/>
      <c r="F72" s="66"/>
    </row>
    <row r="73" spans="5:6" x14ac:dyDescent="0.3">
      <c r="E73" s="66"/>
      <c r="F73" s="66"/>
    </row>
    <row r="74" spans="5:6" x14ac:dyDescent="0.3">
      <c r="E74" s="66"/>
      <c r="F74" s="66"/>
    </row>
    <row r="75" spans="5:6" x14ac:dyDescent="0.3">
      <c r="E75" s="66"/>
      <c r="F75" s="66"/>
    </row>
    <row r="76" spans="5:6" x14ac:dyDescent="0.3">
      <c r="E76" s="66"/>
      <c r="F76" s="66"/>
    </row>
    <row r="77" spans="5:6" x14ac:dyDescent="0.3">
      <c r="E77" s="66"/>
      <c r="F77" s="66"/>
    </row>
    <row r="78" spans="5:6" x14ac:dyDescent="0.3">
      <c r="E78" s="66"/>
      <c r="F78" s="66"/>
    </row>
    <row r="79" spans="5:6" x14ac:dyDescent="0.3">
      <c r="E79" s="66"/>
      <c r="F79" s="66"/>
    </row>
    <row r="80" spans="5:6" x14ac:dyDescent="0.3">
      <c r="E80" s="66"/>
      <c r="F80" s="66"/>
    </row>
    <row r="81" spans="5:6" x14ac:dyDescent="0.3">
      <c r="E81" s="66"/>
      <c r="F81" s="66"/>
    </row>
    <row r="82" spans="5:6" x14ac:dyDescent="0.3">
      <c r="E82" s="66"/>
      <c r="F82" s="66"/>
    </row>
    <row r="83" spans="5:6" x14ac:dyDescent="0.3">
      <c r="E83" s="66"/>
      <c r="F83" s="66"/>
    </row>
    <row r="84" spans="5:6" x14ac:dyDescent="0.3">
      <c r="E84" s="66"/>
      <c r="F84" s="66"/>
    </row>
    <row r="85" spans="5:6" x14ac:dyDescent="0.3">
      <c r="E85" s="66"/>
      <c r="F85" s="66"/>
    </row>
    <row r="86" spans="5:6" x14ac:dyDescent="0.3">
      <c r="E86" s="66"/>
      <c r="F86" s="66"/>
    </row>
    <row r="87" spans="5:6" x14ac:dyDescent="0.3">
      <c r="E87" s="66"/>
      <c r="F87" s="66"/>
    </row>
  </sheetData>
  <sheetProtection sheet="1" objects="1" scenarios="1" formatCells="0" formatColumns="0" formatRows="0" insertHyperlinks="0" selectLockedCells="1" sort="0" autoFilter="0"/>
  <mergeCells count="1">
    <mergeCell ref="B3:B4"/>
  </mergeCells>
  <conditionalFormatting sqref="B5:B34">
    <cfRule type="iconSet" priority="1">
      <iconSet iconSet="3Signs" showValue="0" reverse="1">
        <cfvo type="percent" val="0"/>
        <cfvo type="num" val="2"/>
        <cfvo type="num" val="3"/>
      </iconSet>
    </cfRule>
    <cfRule type="expression" dxfId="126" priority="2">
      <formula>MOD(ROW(A9),2)=1</formula>
    </cfRule>
    <cfRule type="expression" dxfId="125" priority="3">
      <formula>MOD(ROW(A9),2)=0</formula>
    </cfRule>
  </conditionalFormatting>
  <conditionalFormatting sqref="C5:C22 C23:E23 C24:I34">
    <cfRule type="expression" dxfId="124" priority="12">
      <formula>MOD(ROW(B9),2)=1</formula>
    </cfRule>
    <cfRule type="expression" dxfId="123" priority="13">
      <formula>MOD(ROW(B9),2)=0</formula>
    </cfRule>
  </conditionalFormatting>
  <conditionalFormatting sqref="D20:E22 F20:I23">
    <cfRule type="expression" dxfId="122" priority="10">
      <formula>MOD(ROW(C24),2)=1</formula>
    </cfRule>
    <cfRule type="expression" dxfId="121" priority="11">
      <formula>MOD(ROW(C24),2)=0</formula>
    </cfRule>
  </conditionalFormatting>
  <conditionalFormatting sqref="D5:I19">
    <cfRule type="expression" dxfId="120" priority="4">
      <formula>MOD(ROW(C9),2)=1</formula>
    </cfRule>
    <cfRule type="expression" dxfId="119" priority="5">
      <formula>MOD(ROW(C9),2)=0</formula>
    </cfRule>
  </conditionalFormatting>
  <conditionalFormatting sqref="G35:G52">
    <cfRule type="iconSet" priority="16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I35:I52">
    <cfRule type="iconSet" priority="15">
      <iconSet iconSet="3Signs" showValue="0" reverse="1">
        <cfvo type="percent" val="0"/>
        <cfvo type="num" val="2"/>
        <cfvo type="num" val="3"/>
      </iconSet>
    </cfRule>
  </conditionalFormatting>
  <conditionalFormatting sqref="K32 K34 K36 K44 K46:K52">
    <cfRule type="cellIs" dxfId="118" priority="18" operator="equal">
      <formula>3</formula>
    </cfRule>
    <cfRule type="cellIs" dxfId="117" priority="19" operator="equal">
      <formula>2</formula>
    </cfRule>
    <cfRule type="cellIs" dxfId="116" priority="20" operator="equal">
      <formula>1</formula>
    </cfRule>
  </conditionalFormatting>
  <conditionalFormatting sqref="K32:K52">
    <cfRule type="iconSet" priority="22">
      <iconSet iconSet="3Symbols2" showValue="0" reverse="1">
        <cfvo type="percent" val="0"/>
        <cfvo type="num" val="2"/>
        <cfvo type="num" val="3"/>
      </iconSet>
    </cfRule>
    <cfRule type="cellIs" dxfId="115" priority="23" operator="equal">
      <formula>3</formula>
    </cfRule>
    <cfRule type="cellIs" dxfId="114" priority="24" operator="equal">
      <formula>2</formula>
    </cfRule>
    <cfRule type="cellIs" dxfId="113" priority="25" operator="equal">
      <formula>1</formula>
    </cfRule>
  </conditionalFormatting>
  <dataValidations count="4">
    <dataValidation type="list" allowBlank="1" showInputMessage="1" showErrorMessage="1" sqref="G35:G52" xr:uid="{00000000-0002-0000-0400-000000000000}">
      <formula1>"1,2,3,4,5"</formula1>
    </dataValidation>
    <dataValidation type="list" allowBlank="1" showInputMessage="1" showErrorMessage="1" sqref="E35:F52" xr:uid="{00000000-0002-0000-0400-000001000000}">
      <formula1>"1,2,3,4,5,6,7,8,9,10,11"</formula1>
    </dataValidation>
    <dataValidation type="list" allowBlank="1" showInputMessage="1" showErrorMessage="1" sqref="K32:K52 I35:I52" xr:uid="{00000000-0002-0000-0400-000002000000}">
      <formula1>"1,2,3"</formula1>
    </dataValidation>
    <dataValidation type="list" allowBlank="1" showInputMessage="1" showErrorMessage="1" sqref="E5:F34" xr:uid="{00000000-0002-0000-0400-000003000000}">
      <formula1>"3,2,1,0,-1,-2,-3"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2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" id="{5BA72D4F-0C28-4F5B-A7AF-1702F2484818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E35:F52</xm:sqref>
        </x14:conditionalFormatting>
        <x14:conditionalFormatting xmlns:xm="http://schemas.microsoft.com/office/excel/2006/main">
          <x14:cfRule type="iconSet" priority="21" id="{C36197BA-235F-4F99-95A1-F1905998266A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K32 K34 K36 K44 K46:K52</xm:sqref>
        </x14:conditionalFormatting>
        <x14:conditionalFormatting xmlns:xm="http://schemas.microsoft.com/office/excel/2006/main">
          <x14:cfRule type="iconSet" priority="17" id="{DB85C54C-1720-44F9-A8D7-F66226F8413A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K33 K35 K37:K43 K45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34998626667073579"/>
    <pageSetUpPr fitToPage="1"/>
  </sheetPr>
  <dimension ref="A1:I57"/>
  <sheetViews>
    <sheetView showGridLines="0" zoomScaleNormal="100" workbookViewId="0">
      <pane ySplit="4" topLeftCell="A5" activePane="bottomLeft" state="frozen"/>
      <selection activeCell="N13" sqref="N13"/>
      <selection pane="bottomLeft" activeCell="C2" sqref="C2"/>
    </sheetView>
  </sheetViews>
  <sheetFormatPr baseColWidth="10" defaultColWidth="11.44140625" defaultRowHeight="14.4" x14ac:dyDescent="0.3"/>
  <cols>
    <col min="1" max="1" width="7" style="110" customWidth="1"/>
    <col min="2" max="2" width="8.88671875" style="66" customWidth="1"/>
    <col min="3" max="3" width="26.44140625" style="66" customWidth="1"/>
    <col min="4" max="4" width="8.109375" style="66" customWidth="1"/>
    <col min="5" max="5" width="25.44140625" style="179" customWidth="1"/>
    <col min="6" max="7" width="34.33203125" style="179" customWidth="1"/>
    <col min="8" max="8" width="16" style="179" customWidth="1"/>
    <col min="9" max="9" width="7.44140625" style="488" customWidth="1"/>
    <col min="10" max="251" width="9.109375" style="66" customWidth="1"/>
    <col min="252" max="16384" width="11.44140625" style="66"/>
  </cols>
  <sheetData>
    <row r="1" spans="1:9" s="109" customFormat="1" ht="45" customHeight="1" x14ac:dyDescent="0.3">
      <c r="A1" s="166"/>
      <c r="B1" s="103" t="str">
        <f ca="1">' '!A339</f>
        <v>K U N D E N R E K L A M A T I O N E N</v>
      </c>
      <c r="C1" s="103"/>
      <c r="D1" s="103"/>
      <c r="E1" s="167"/>
      <c r="F1" s="167"/>
      <c r="G1" s="167"/>
      <c r="H1" s="167"/>
      <c r="I1" s="122"/>
    </row>
    <row r="2" spans="1:9" s="170" customFormat="1" ht="14.25" customHeight="1" x14ac:dyDescent="0.3">
      <c r="B2" s="487" t="str">
        <f ca="1">' '!A337</f>
        <v>vom:</v>
      </c>
      <c r="C2" s="893">
        <v>41640</v>
      </c>
      <c r="D2" s="487" t="str">
        <f ca="1">' '!A338</f>
        <v>bis:</v>
      </c>
      <c r="E2" s="894">
        <v>42004</v>
      </c>
      <c r="I2" s="110"/>
    </row>
    <row r="3" spans="1:9" s="174" customFormat="1" ht="10.5" customHeight="1" x14ac:dyDescent="0.3">
      <c r="A3" s="170"/>
      <c r="B3" s="173"/>
      <c r="D3" s="170"/>
      <c r="I3" s="488"/>
    </row>
    <row r="4" spans="1:9" ht="33" customHeight="1" x14ac:dyDescent="0.3">
      <c r="B4" s="176" t="str">
        <f ca="1">' '!A299</f>
        <v>Ranking</v>
      </c>
      <c r="C4" s="177" t="str">
        <f ca="1">' '!A340</f>
        <v>Reklamationen</v>
      </c>
      <c r="D4" s="177" t="str">
        <f ca="1">' '!A301</f>
        <v>Häufig-keit</v>
      </c>
      <c r="E4" s="177" t="str">
        <f ca="1">' '!A332</f>
        <v>Prozess / Produkt / Dienstleistung</v>
      </c>
      <c r="F4" s="177" t="str">
        <f ca="1">' '!A334</f>
        <v>Ursachen</v>
      </c>
      <c r="G4" s="177" t="str">
        <f ca="1">' '!A341</f>
        <v>Mögliche Massnahmen</v>
      </c>
      <c r="H4" s="177" t="str">
        <f ca="1">' '!A336</f>
        <v>Auftretenswahr-scheinlichkeit</v>
      </c>
      <c r="I4" s="178" t="str">
        <f ca="1">' '!A64</f>
        <v>Status</v>
      </c>
    </row>
    <row r="5" spans="1:9" s="186" customFormat="1" ht="23.4" x14ac:dyDescent="0.3">
      <c r="A5" s="110"/>
      <c r="B5" s="181">
        <f>IF(D5="","",RANK(D5,D$5:D$24)+COUNTIF(D$5:D5,D5)-1)</f>
        <v>5</v>
      </c>
      <c r="C5" s="182" t="s">
        <v>549</v>
      </c>
      <c r="D5" s="895">
        <v>15</v>
      </c>
      <c r="E5" s="182"/>
      <c r="F5" s="182"/>
      <c r="G5" s="182"/>
      <c r="H5" s="491">
        <v>2</v>
      </c>
      <c r="I5" s="270">
        <v>2</v>
      </c>
    </row>
    <row r="6" spans="1:9" s="186" customFormat="1" ht="23.4" x14ac:dyDescent="0.3">
      <c r="A6" s="110"/>
      <c r="B6" s="181">
        <f>IF(D6="","",RANK(D6,D$5:D$24)+COUNTIF(D$5:D6,D6)-1)</f>
        <v>19</v>
      </c>
      <c r="C6" s="182" t="s">
        <v>550</v>
      </c>
      <c r="D6" s="895">
        <v>2</v>
      </c>
      <c r="E6" s="182"/>
      <c r="F6" s="182"/>
      <c r="G6" s="182"/>
      <c r="H6" s="491">
        <v>6</v>
      </c>
      <c r="I6" s="267">
        <v>1</v>
      </c>
    </row>
    <row r="7" spans="1:9" s="186" customFormat="1" ht="23.4" x14ac:dyDescent="0.3">
      <c r="A7" s="110"/>
      <c r="B7" s="181">
        <f>IF(D7="","",RANK(D7,D$5:D$24)+COUNTIF(D$5:D7,D7)-1)</f>
        <v>10</v>
      </c>
      <c r="C7" s="182" t="s">
        <v>551</v>
      </c>
      <c r="D7" s="895">
        <v>10</v>
      </c>
      <c r="E7" s="182"/>
      <c r="F7" s="182"/>
      <c r="G7" s="182"/>
      <c r="H7" s="491"/>
      <c r="I7" s="270"/>
    </row>
    <row r="8" spans="1:9" s="186" customFormat="1" ht="23.4" x14ac:dyDescent="0.3">
      <c r="A8" s="110"/>
      <c r="B8" s="181">
        <f>IF(D8="","",RANK(D8,D$5:D$24)+COUNTIF(D$5:D8,D8)-1)</f>
        <v>15</v>
      </c>
      <c r="C8" s="182" t="s">
        <v>552</v>
      </c>
      <c r="D8" s="895">
        <v>5</v>
      </c>
      <c r="E8" s="182"/>
      <c r="F8" s="182"/>
      <c r="G8" s="182"/>
      <c r="H8" s="491"/>
      <c r="I8" s="267"/>
    </row>
    <row r="9" spans="1:9" s="186" customFormat="1" ht="23.4" x14ac:dyDescent="0.3">
      <c r="A9" s="110"/>
      <c r="B9" s="181">
        <f>IF(D9="","",RANK(D9,D$5:D$24)+COUNTIF(D$5:D9,D9)-1)</f>
        <v>13</v>
      </c>
      <c r="C9" s="182" t="s">
        <v>553</v>
      </c>
      <c r="D9" s="895">
        <v>7</v>
      </c>
      <c r="E9" s="182"/>
      <c r="F9" s="182"/>
      <c r="G9" s="182"/>
      <c r="H9" s="491"/>
      <c r="I9" s="270"/>
    </row>
    <row r="10" spans="1:9" s="186" customFormat="1" ht="23.4" x14ac:dyDescent="0.3">
      <c r="A10" s="110"/>
      <c r="B10" s="181">
        <f>IF(D10="","",RANK(D10,D$5:D$24)+COUNTIF(D$5:D10,D10)-1)</f>
        <v>6</v>
      </c>
      <c r="C10" s="182" t="s">
        <v>554</v>
      </c>
      <c r="D10" s="895">
        <v>15</v>
      </c>
      <c r="E10" s="182"/>
      <c r="F10" s="182"/>
      <c r="G10" s="182"/>
      <c r="H10" s="491"/>
      <c r="I10" s="267"/>
    </row>
    <row r="11" spans="1:9" s="186" customFormat="1" ht="23.4" x14ac:dyDescent="0.3">
      <c r="A11" s="110"/>
      <c r="B11" s="181">
        <f>IF(D11="","",RANK(D11,D$5:D$24)+COUNTIF(D$5:D11,D11)-1)</f>
        <v>14</v>
      </c>
      <c r="C11" s="182" t="s">
        <v>555</v>
      </c>
      <c r="D11" s="895">
        <v>7</v>
      </c>
      <c r="E11" s="182"/>
      <c r="F11" s="182"/>
      <c r="G11" s="182"/>
      <c r="H11" s="491"/>
      <c r="I11" s="270"/>
    </row>
    <row r="12" spans="1:9" s="186" customFormat="1" ht="23.4" x14ac:dyDescent="0.3">
      <c r="A12" s="110"/>
      <c r="B12" s="181">
        <f>IF(D12="","",RANK(D12,D$5:D$24)+COUNTIF(D$5:D12,D12)-1)</f>
        <v>2</v>
      </c>
      <c r="C12" s="182" t="s">
        <v>556</v>
      </c>
      <c r="D12" s="895">
        <v>80</v>
      </c>
      <c r="E12" s="182"/>
      <c r="F12" s="182"/>
      <c r="G12" s="182"/>
      <c r="H12" s="491"/>
      <c r="I12" s="267"/>
    </row>
    <row r="13" spans="1:9" s="186" customFormat="1" ht="23.4" x14ac:dyDescent="0.3">
      <c r="A13" s="110"/>
      <c r="B13" s="181">
        <f>IF(D13="","",RANK(D13,D$5:D$24)+COUNTIF(D$5:D13,D13)-1)</f>
        <v>12</v>
      </c>
      <c r="C13" s="182" t="s">
        <v>557</v>
      </c>
      <c r="D13" s="895">
        <v>9</v>
      </c>
      <c r="E13" s="182"/>
      <c r="F13" s="182"/>
      <c r="G13" s="182"/>
      <c r="H13" s="491"/>
      <c r="I13" s="270"/>
    </row>
    <row r="14" spans="1:9" s="186" customFormat="1" ht="23.4" x14ac:dyDescent="0.3">
      <c r="A14" s="110"/>
      <c r="B14" s="181">
        <f>IF(D14="","",RANK(D14,D$5:D$24)+COUNTIF(D$5:D14,D14)-1)</f>
        <v>11</v>
      </c>
      <c r="C14" s="182" t="s">
        <v>558</v>
      </c>
      <c r="D14" s="895">
        <v>10</v>
      </c>
      <c r="E14" s="182"/>
      <c r="F14" s="182"/>
      <c r="G14" s="182"/>
      <c r="H14" s="491"/>
      <c r="I14" s="267"/>
    </row>
    <row r="15" spans="1:9" s="186" customFormat="1" ht="23.4" x14ac:dyDescent="0.3">
      <c r="A15" s="110"/>
      <c r="B15" s="181">
        <f>IF(D15="","",RANK(D15,D$5:D$24)+COUNTIF(D$5:D15,D15)-1)</f>
        <v>8</v>
      </c>
      <c r="C15" s="182" t="s">
        <v>559</v>
      </c>
      <c r="D15" s="895">
        <v>12</v>
      </c>
      <c r="E15" s="182"/>
      <c r="F15" s="182"/>
      <c r="G15" s="182"/>
      <c r="H15" s="491"/>
      <c r="I15" s="270"/>
    </row>
    <row r="16" spans="1:9" s="186" customFormat="1" ht="23.4" x14ac:dyDescent="0.3">
      <c r="A16" s="110"/>
      <c r="B16" s="181">
        <f>IF(D16="","",RANK(D16,D$5:D$24)+COUNTIF(D$5:D16,D16)-1)</f>
        <v>9</v>
      </c>
      <c r="C16" s="182" t="s">
        <v>560</v>
      </c>
      <c r="D16" s="895">
        <v>12</v>
      </c>
      <c r="E16" s="182"/>
      <c r="F16" s="182"/>
      <c r="G16" s="182"/>
      <c r="H16" s="491"/>
      <c r="I16" s="267"/>
    </row>
    <row r="17" spans="1:9" s="186" customFormat="1" ht="23.4" x14ac:dyDescent="0.3">
      <c r="A17" s="110"/>
      <c r="B17" s="181">
        <f>IF(D17="","",RANK(D17,D$5:D$24)+COUNTIF(D$5:D17,D17)-1)</f>
        <v>7</v>
      </c>
      <c r="C17" s="182" t="s">
        <v>561</v>
      </c>
      <c r="D17" s="895">
        <v>13</v>
      </c>
      <c r="E17" s="182"/>
      <c r="F17" s="182"/>
      <c r="G17" s="182"/>
      <c r="H17" s="491"/>
      <c r="I17" s="267"/>
    </row>
    <row r="18" spans="1:9" s="186" customFormat="1" ht="23.4" x14ac:dyDescent="0.3">
      <c r="A18" s="110"/>
      <c r="B18" s="181">
        <f>IF(D18="","",RANK(D18,D$5:D$24)+COUNTIF(D$5:D18,D18)-1)</f>
        <v>17</v>
      </c>
      <c r="C18" s="182" t="s">
        <v>562</v>
      </c>
      <c r="D18" s="895">
        <v>3</v>
      </c>
      <c r="E18" s="182"/>
      <c r="F18" s="182"/>
      <c r="G18" s="182"/>
      <c r="H18" s="491"/>
      <c r="I18" s="270"/>
    </row>
    <row r="19" spans="1:9" s="186" customFormat="1" ht="23.4" x14ac:dyDescent="0.3">
      <c r="A19" s="110"/>
      <c r="B19" s="181">
        <f>IF(D19="","",RANK(D19,D$5:D$24)+COUNTIF(D$5:D19,D19)-1)</f>
        <v>4</v>
      </c>
      <c r="C19" s="182" t="s">
        <v>563</v>
      </c>
      <c r="D19" s="895">
        <v>45</v>
      </c>
      <c r="E19" s="182"/>
      <c r="F19" s="182"/>
      <c r="G19" s="182"/>
      <c r="H19" s="491"/>
      <c r="I19" s="267"/>
    </row>
    <row r="20" spans="1:9" s="186" customFormat="1" ht="23.4" x14ac:dyDescent="0.3">
      <c r="A20" s="110"/>
      <c r="B20" s="181">
        <f>IF(D20="","",RANK(D20,D$5:D$24)+COUNTIF(D$5:D20,D20)-1)</f>
        <v>20</v>
      </c>
      <c r="C20" s="182" t="s">
        <v>564</v>
      </c>
      <c r="D20" s="895">
        <v>2</v>
      </c>
      <c r="E20" s="182"/>
      <c r="F20" s="182"/>
      <c r="G20" s="182"/>
      <c r="H20" s="491"/>
      <c r="I20" s="270"/>
    </row>
    <row r="21" spans="1:9" s="186" customFormat="1" ht="23.4" x14ac:dyDescent="0.3">
      <c r="A21" s="110"/>
      <c r="B21" s="181">
        <f>IF(D21="","",RANK(D21,D$5:D$24)+COUNTIF(D$5:D21,D21)-1)</f>
        <v>3</v>
      </c>
      <c r="C21" s="182" t="s">
        <v>565</v>
      </c>
      <c r="D21" s="895">
        <v>55</v>
      </c>
      <c r="E21" s="182"/>
      <c r="F21" s="182"/>
      <c r="G21" s="182"/>
      <c r="H21" s="491"/>
      <c r="I21" s="267"/>
    </row>
    <row r="22" spans="1:9" s="186" customFormat="1" ht="23.4" x14ac:dyDescent="0.3">
      <c r="A22" s="110"/>
      <c r="B22" s="181">
        <f>IF(D22="","",RANK(D22,D$5:D$24)+COUNTIF(D$5:D22,D22)-1)</f>
        <v>1</v>
      </c>
      <c r="C22" s="182" t="s">
        <v>566</v>
      </c>
      <c r="D22" s="895">
        <v>86</v>
      </c>
      <c r="E22" s="182"/>
      <c r="F22" s="182"/>
      <c r="G22" s="182"/>
      <c r="H22" s="491"/>
      <c r="I22" s="267"/>
    </row>
    <row r="23" spans="1:9" s="186" customFormat="1" ht="23.4" x14ac:dyDescent="0.3">
      <c r="A23" s="110"/>
      <c r="B23" s="181">
        <f>IF(D23="","",RANK(D23,D$5:D$24)+COUNTIF(D$5:D23,D23)-1)</f>
        <v>16</v>
      </c>
      <c r="C23" s="182" t="s">
        <v>567</v>
      </c>
      <c r="D23" s="895">
        <v>5</v>
      </c>
      <c r="E23" s="182"/>
      <c r="F23" s="182"/>
      <c r="G23" s="182"/>
      <c r="H23" s="491"/>
      <c r="I23" s="270"/>
    </row>
    <row r="24" spans="1:9" s="186" customFormat="1" ht="23.4" x14ac:dyDescent="0.3">
      <c r="A24" s="110"/>
      <c r="B24" s="187">
        <f>IF(D24="","",RANK(D24,D$5:D$24)+COUNTIF(D$5:D24,D24)-1)</f>
        <v>18</v>
      </c>
      <c r="C24" s="188" t="s">
        <v>755</v>
      </c>
      <c r="D24" s="896">
        <v>3</v>
      </c>
      <c r="E24" s="188"/>
      <c r="F24" s="188"/>
      <c r="G24" s="188"/>
      <c r="H24" s="495"/>
      <c r="I24" s="897"/>
    </row>
    <row r="25" spans="1:9" x14ac:dyDescent="0.3">
      <c r="A25" s="170"/>
      <c r="B25" s="74" t="s">
        <v>2103</v>
      </c>
      <c r="E25" s="66"/>
      <c r="F25" s="66"/>
      <c r="G25" s="66"/>
      <c r="H25" s="66"/>
    </row>
    <row r="26" spans="1:9" x14ac:dyDescent="0.3">
      <c r="A26" s="170"/>
      <c r="E26" s="66"/>
      <c r="F26" s="66"/>
      <c r="G26" s="66"/>
      <c r="H26" s="66"/>
    </row>
    <row r="27" spans="1:9" x14ac:dyDescent="0.3">
      <c r="A27" s="170"/>
      <c r="E27" s="66"/>
      <c r="F27" s="66"/>
      <c r="G27" s="66"/>
      <c r="H27" s="66"/>
    </row>
    <row r="28" spans="1:9" x14ac:dyDescent="0.3">
      <c r="A28" s="170"/>
      <c r="B28" s="179" t="s">
        <v>0</v>
      </c>
      <c r="C28" s="179" t="s">
        <v>1</v>
      </c>
      <c r="D28" s="179" t="s">
        <v>2</v>
      </c>
      <c r="E28" s="180" t="s">
        <v>3</v>
      </c>
      <c r="F28" s="180"/>
      <c r="G28" s="498"/>
      <c r="H28" s="498"/>
    </row>
    <row r="29" spans="1:9" x14ac:dyDescent="0.3">
      <c r="A29" s="170"/>
      <c r="B29" s="184" t="str">
        <f t="shared" ref="B29:B48" si="0">IF(D5="","",INDEX($B$5:$D$24,MATCH(D29,$B$5:$B$24,0),2))</f>
        <v>Reklamation 18</v>
      </c>
      <c r="C29" s="184">
        <f t="shared" ref="C29:C48" si="1">IF(D5="","",INDEX($B$5:$D$24,MATCH(D29,$B$5:$B$24,0),3))</f>
        <v>86</v>
      </c>
      <c r="D29" s="184">
        <v>1</v>
      </c>
      <c r="E29" s="185">
        <f>IF(C29="","",C29/SUM($C$29:$C$48))</f>
        <v>0.21717171717171718</v>
      </c>
      <c r="F29" s="185"/>
      <c r="G29" s="499"/>
      <c r="H29" s="499"/>
    </row>
    <row r="30" spans="1:9" x14ac:dyDescent="0.3">
      <c r="A30" s="170"/>
      <c r="B30" s="184" t="str">
        <f t="shared" si="0"/>
        <v>Reklamation 8</v>
      </c>
      <c r="C30" s="184">
        <f t="shared" si="1"/>
        <v>80</v>
      </c>
      <c r="D30" s="184">
        <v>2</v>
      </c>
      <c r="E30" s="185">
        <f t="shared" ref="E30:E48" si="2">IF(C30="","",(C30/SUM($C$29:$C$48)+E29))</f>
        <v>0.41919191919191923</v>
      </c>
      <c r="F30" s="185"/>
      <c r="G30" s="499"/>
      <c r="H30" s="499"/>
    </row>
    <row r="31" spans="1:9" x14ac:dyDescent="0.3">
      <c r="A31" s="170"/>
      <c r="B31" s="184" t="str">
        <f t="shared" si="0"/>
        <v>Reklamation 17</v>
      </c>
      <c r="C31" s="184">
        <f t="shared" si="1"/>
        <v>55</v>
      </c>
      <c r="D31" s="184">
        <v>3</v>
      </c>
      <c r="E31" s="185">
        <f t="shared" si="2"/>
        <v>0.55808080808080818</v>
      </c>
      <c r="F31" s="185"/>
      <c r="G31" s="499"/>
      <c r="H31" s="499"/>
    </row>
    <row r="32" spans="1:9" x14ac:dyDescent="0.3">
      <c r="A32" s="170"/>
      <c r="B32" s="184" t="str">
        <f t="shared" si="0"/>
        <v>Reklamation 15</v>
      </c>
      <c r="C32" s="184">
        <f t="shared" si="1"/>
        <v>45</v>
      </c>
      <c r="D32" s="184">
        <v>4</v>
      </c>
      <c r="E32" s="185">
        <f t="shared" si="2"/>
        <v>0.67171717171717182</v>
      </c>
      <c r="F32" s="185"/>
      <c r="G32" s="499"/>
      <c r="H32" s="499"/>
    </row>
    <row r="33" spans="1:8" x14ac:dyDescent="0.3">
      <c r="A33" s="170"/>
      <c r="B33" s="184" t="str">
        <f t="shared" si="0"/>
        <v>Reklamation 1</v>
      </c>
      <c r="C33" s="184">
        <f t="shared" si="1"/>
        <v>15</v>
      </c>
      <c r="D33" s="184">
        <v>5</v>
      </c>
      <c r="E33" s="185">
        <f t="shared" si="2"/>
        <v>0.70959595959595967</v>
      </c>
      <c r="F33" s="185"/>
      <c r="G33" s="499"/>
      <c r="H33" s="499"/>
    </row>
    <row r="34" spans="1:8" x14ac:dyDescent="0.3">
      <c r="A34" s="170"/>
      <c r="B34" s="184" t="str">
        <f t="shared" si="0"/>
        <v>Reklamation 6</v>
      </c>
      <c r="C34" s="184">
        <f t="shared" si="1"/>
        <v>15</v>
      </c>
      <c r="D34" s="184">
        <v>6</v>
      </c>
      <c r="E34" s="185">
        <f t="shared" si="2"/>
        <v>0.74747474747474751</v>
      </c>
      <c r="F34" s="185"/>
      <c r="G34" s="499"/>
      <c r="H34" s="499"/>
    </row>
    <row r="35" spans="1:8" x14ac:dyDescent="0.3">
      <c r="A35" s="170"/>
      <c r="B35" s="184" t="str">
        <f t="shared" si="0"/>
        <v>Reklamation 13</v>
      </c>
      <c r="C35" s="184">
        <f t="shared" si="1"/>
        <v>13</v>
      </c>
      <c r="D35" s="184">
        <v>7</v>
      </c>
      <c r="E35" s="185">
        <f t="shared" si="2"/>
        <v>0.78030303030303039</v>
      </c>
      <c r="F35" s="185"/>
      <c r="G35" s="499"/>
      <c r="H35" s="499"/>
    </row>
    <row r="36" spans="1:8" x14ac:dyDescent="0.3">
      <c r="A36" s="170"/>
      <c r="B36" s="184" t="str">
        <f t="shared" si="0"/>
        <v>Reklamation 11</v>
      </c>
      <c r="C36" s="184">
        <f t="shared" si="1"/>
        <v>12</v>
      </c>
      <c r="D36" s="184">
        <v>8</v>
      </c>
      <c r="E36" s="185">
        <f t="shared" si="2"/>
        <v>0.81060606060606066</v>
      </c>
      <c r="F36" s="185"/>
      <c r="G36" s="499"/>
      <c r="H36" s="499"/>
    </row>
    <row r="37" spans="1:8" x14ac:dyDescent="0.3">
      <c r="A37" s="170"/>
      <c r="B37" s="184" t="str">
        <f t="shared" si="0"/>
        <v>Reklamation 12</v>
      </c>
      <c r="C37" s="184">
        <f t="shared" si="1"/>
        <v>12</v>
      </c>
      <c r="D37" s="184">
        <v>9</v>
      </c>
      <c r="E37" s="185">
        <f t="shared" si="2"/>
        <v>0.84090909090909094</v>
      </c>
      <c r="F37" s="185"/>
      <c r="G37" s="499"/>
      <c r="H37" s="499"/>
    </row>
    <row r="38" spans="1:8" x14ac:dyDescent="0.3">
      <c r="A38" s="170"/>
      <c r="B38" s="184" t="str">
        <f t="shared" si="0"/>
        <v>Reklamation 3</v>
      </c>
      <c r="C38" s="184">
        <f t="shared" si="1"/>
        <v>10</v>
      </c>
      <c r="D38" s="184">
        <v>10</v>
      </c>
      <c r="E38" s="185">
        <f t="shared" si="2"/>
        <v>0.86616161616161624</v>
      </c>
      <c r="F38" s="185"/>
      <c r="G38" s="499"/>
      <c r="H38" s="499"/>
    </row>
    <row r="39" spans="1:8" x14ac:dyDescent="0.3">
      <c r="A39" s="170"/>
      <c r="B39" s="184" t="str">
        <f t="shared" si="0"/>
        <v>Reklamation 10</v>
      </c>
      <c r="C39" s="184">
        <f t="shared" si="1"/>
        <v>10</v>
      </c>
      <c r="D39" s="184">
        <v>11</v>
      </c>
      <c r="E39" s="185">
        <f t="shared" si="2"/>
        <v>0.89141414141414155</v>
      </c>
      <c r="F39" s="185"/>
      <c r="G39" s="499"/>
      <c r="H39" s="499"/>
    </row>
    <row r="40" spans="1:8" x14ac:dyDescent="0.3">
      <c r="A40" s="170"/>
      <c r="B40" s="184" t="str">
        <f t="shared" si="0"/>
        <v>Reklamation 9</v>
      </c>
      <c r="C40" s="184">
        <f t="shared" si="1"/>
        <v>9</v>
      </c>
      <c r="D40" s="184">
        <v>12</v>
      </c>
      <c r="E40" s="185">
        <f t="shared" si="2"/>
        <v>0.91414141414141425</v>
      </c>
      <c r="F40" s="185"/>
      <c r="G40" s="499"/>
      <c r="H40" s="499"/>
    </row>
    <row r="41" spans="1:8" x14ac:dyDescent="0.3">
      <c r="A41" s="170"/>
      <c r="B41" s="184" t="str">
        <f t="shared" si="0"/>
        <v>Reklamation 5</v>
      </c>
      <c r="C41" s="184">
        <f t="shared" si="1"/>
        <v>7</v>
      </c>
      <c r="D41" s="184">
        <v>13</v>
      </c>
      <c r="E41" s="185">
        <f t="shared" si="2"/>
        <v>0.93181818181818188</v>
      </c>
      <c r="F41" s="185"/>
      <c r="G41" s="499"/>
      <c r="H41" s="499"/>
    </row>
    <row r="42" spans="1:8" x14ac:dyDescent="0.3">
      <c r="A42" s="170"/>
      <c r="B42" s="184" t="str">
        <f t="shared" si="0"/>
        <v>Reklamation 7</v>
      </c>
      <c r="C42" s="184">
        <f t="shared" si="1"/>
        <v>7</v>
      </c>
      <c r="D42" s="184">
        <v>14</v>
      </c>
      <c r="E42" s="185">
        <f t="shared" si="2"/>
        <v>0.9494949494949495</v>
      </c>
      <c r="F42" s="185"/>
      <c r="G42" s="499"/>
      <c r="H42" s="499"/>
    </row>
    <row r="43" spans="1:8" x14ac:dyDescent="0.3">
      <c r="A43" s="170"/>
      <c r="B43" s="184" t="str">
        <f t="shared" si="0"/>
        <v>Reklamation 4</v>
      </c>
      <c r="C43" s="184">
        <f t="shared" si="1"/>
        <v>5</v>
      </c>
      <c r="D43" s="184">
        <v>15</v>
      </c>
      <c r="E43" s="185">
        <f t="shared" si="2"/>
        <v>0.96212121212121215</v>
      </c>
      <c r="F43" s="185"/>
      <c r="G43" s="499"/>
      <c r="H43" s="499"/>
    </row>
    <row r="44" spans="1:8" x14ac:dyDescent="0.3">
      <c r="A44" s="170"/>
      <c r="B44" s="184" t="str">
        <f t="shared" si="0"/>
        <v>Reklamation 19</v>
      </c>
      <c r="C44" s="184">
        <f t="shared" si="1"/>
        <v>5</v>
      </c>
      <c r="D44" s="184">
        <v>16</v>
      </c>
      <c r="E44" s="185">
        <f t="shared" si="2"/>
        <v>0.97474747474747481</v>
      </c>
      <c r="F44" s="185"/>
      <c r="G44" s="499"/>
      <c r="H44" s="499"/>
    </row>
    <row r="45" spans="1:8" x14ac:dyDescent="0.3">
      <c r="A45" s="170"/>
      <c r="B45" s="184" t="str">
        <f t="shared" si="0"/>
        <v>Reklamation 14</v>
      </c>
      <c r="C45" s="184">
        <f t="shared" si="1"/>
        <v>3</v>
      </c>
      <c r="D45" s="184">
        <v>17</v>
      </c>
      <c r="E45" s="185">
        <f t="shared" si="2"/>
        <v>0.98232323232323238</v>
      </c>
      <c r="F45" s="185"/>
      <c r="G45" s="499"/>
      <c r="H45" s="499"/>
    </row>
    <row r="46" spans="1:8" x14ac:dyDescent="0.3">
      <c r="A46" s="170"/>
      <c r="B46" s="184" t="str">
        <f t="shared" si="0"/>
        <v>Reklamation 20</v>
      </c>
      <c r="C46" s="184">
        <f t="shared" si="1"/>
        <v>3</v>
      </c>
      <c r="D46" s="184">
        <v>18</v>
      </c>
      <c r="E46" s="185">
        <f t="shared" si="2"/>
        <v>0.98989898989898994</v>
      </c>
      <c r="F46" s="185"/>
      <c r="G46" s="499"/>
      <c r="H46" s="499"/>
    </row>
    <row r="47" spans="1:8" x14ac:dyDescent="0.3">
      <c r="A47" s="170"/>
      <c r="B47" s="184" t="str">
        <f t="shared" si="0"/>
        <v>Reklamation 2</v>
      </c>
      <c r="C47" s="184">
        <f t="shared" si="1"/>
        <v>2</v>
      </c>
      <c r="D47" s="184">
        <v>19</v>
      </c>
      <c r="E47" s="185">
        <f t="shared" si="2"/>
        <v>0.99494949494949503</v>
      </c>
      <c r="F47" s="185"/>
      <c r="G47" s="499"/>
      <c r="H47" s="499"/>
    </row>
    <row r="48" spans="1:8" x14ac:dyDescent="0.3">
      <c r="A48" s="170"/>
      <c r="B48" s="184" t="str">
        <f t="shared" si="0"/>
        <v>Reklamation 16</v>
      </c>
      <c r="C48" s="184">
        <f t="shared" si="1"/>
        <v>2</v>
      </c>
      <c r="D48" s="184">
        <v>20</v>
      </c>
      <c r="E48" s="185">
        <f t="shared" si="2"/>
        <v>1</v>
      </c>
      <c r="F48" s="185"/>
      <c r="G48" s="499"/>
      <c r="H48" s="499"/>
    </row>
    <row r="49" spans="1:8" x14ac:dyDescent="0.3">
      <c r="A49" s="170"/>
      <c r="E49" s="66"/>
      <c r="F49" s="66"/>
      <c r="G49" s="66"/>
      <c r="H49" s="66"/>
    </row>
    <row r="50" spans="1:8" x14ac:dyDescent="0.3">
      <c r="A50" s="170"/>
      <c r="E50" s="66"/>
      <c r="F50" s="66"/>
      <c r="G50" s="66"/>
      <c r="H50" s="66"/>
    </row>
    <row r="51" spans="1:8" x14ac:dyDescent="0.3">
      <c r="A51" s="170"/>
      <c r="E51" s="66"/>
      <c r="F51" s="66"/>
      <c r="G51" s="66"/>
      <c r="H51" s="66"/>
    </row>
    <row r="52" spans="1:8" x14ac:dyDescent="0.3">
      <c r="A52" s="170"/>
      <c r="E52" s="66"/>
      <c r="F52" s="66"/>
      <c r="G52" s="66"/>
      <c r="H52" s="66"/>
    </row>
    <row r="53" spans="1:8" x14ac:dyDescent="0.3">
      <c r="A53" s="170"/>
      <c r="E53" s="66"/>
      <c r="F53" s="66"/>
      <c r="G53" s="66"/>
      <c r="H53" s="66"/>
    </row>
    <row r="54" spans="1:8" x14ac:dyDescent="0.3">
      <c r="A54" s="170"/>
      <c r="E54" s="66"/>
      <c r="F54" s="66"/>
      <c r="G54" s="66"/>
      <c r="H54" s="66"/>
    </row>
    <row r="55" spans="1:8" x14ac:dyDescent="0.3">
      <c r="A55" s="170"/>
      <c r="E55" s="66"/>
      <c r="F55" s="66"/>
      <c r="G55" s="66"/>
      <c r="H55" s="66"/>
    </row>
    <row r="56" spans="1:8" x14ac:dyDescent="0.3">
      <c r="B56" s="500"/>
    </row>
    <row r="57" spans="1:8" ht="0.9" customHeight="1" x14ac:dyDescent="0.3">
      <c r="A57" s="277"/>
    </row>
  </sheetData>
  <sheetProtection sheet="1" objects="1" scenarios="1" formatCells="0" formatColumns="0" formatRows="0" insertHyperlinks="0" selectLockedCells="1" sort="0" autoFilter="0"/>
  <conditionalFormatting sqref="B5:I24">
    <cfRule type="expression" dxfId="112" priority="3">
      <formula>MOD(ROW(A1),2)=0</formula>
    </cfRule>
    <cfRule type="expression" dxfId="111" priority="4">
      <formula>MOD(ROW(A2),2)=0</formula>
    </cfRule>
  </conditionalFormatting>
  <conditionalFormatting sqref="H5:H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H5:H24" xr:uid="{00000000-0002-0000-0500-000000000000}">
      <formula1>"1,2,3,4,5,6,7,8,9,10"</formula1>
    </dataValidation>
    <dataValidation type="list" allowBlank="1" showInputMessage="1" showErrorMessage="1" sqref="I5:I21" xr:uid="{00000000-0002-0000-0500-000001000000}">
      <formula1>"1,2,3"</formula1>
    </dataValidation>
  </dataValidations>
  <pageMargins left="0.25" right="0.25" top="0.75" bottom="0.75" header="0.3" footer="0.3"/>
  <pageSetup paperSize="8" scale="90" orientation="portrait" horizontalDpi="1200" verticalDpi="1200" r:id="rId1"/>
  <headerFooter alignWithMargins="0">
    <oddFooter>&amp;L&amp;8&amp;K00-049(c)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1FF8D9B6-1672-4C0D-88E8-C2E6BDE08FF8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I5:I24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19">
    <tabColor theme="0" tint="-0.34998626667073579"/>
    <pageSetUpPr fitToPage="1"/>
  </sheetPr>
  <dimension ref="A1:I57"/>
  <sheetViews>
    <sheetView showGridLines="0" zoomScaleNormal="100" workbookViewId="0">
      <pane ySplit="4" topLeftCell="A5" activePane="bottomLeft" state="frozen"/>
      <selection activeCell="N13" sqref="N13"/>
      <selection pane="bottomLeft" activeCell="C2" sqref="C2"/>
    </sheetView>
  </sheetViews>
  <sheetFormatPr baseColWidth="10" defaultColWidth="11.44140625" defaultRowHeight="14.4" x14ac:dyDescent="0.3"/>
  <cols>
    <col min="1" max="1" width="7" style="110" customWidth="1"/>
    <col min="2" max="2" width="8.88671875" style="66" customWidth="1"/>
    <col min="3" max="3" width="26.44140625" style="66" customWidth="1"/>
    <col min="4" max="4" width="8.109375" style="66" customWidth="1"/>
    <col min="5" max="5" width="25.44140625" style="179" customWidth="1"/>
    <col min="6" max="7" width="34.33203125" style="179" customWidth="1"/>
    <col min="8" max="8" width="16" style="179" customWidth="1"/>
    <col min="9" max="9" width="7.44140625" style="488" customWidth="1"/>
    <col min="10" max="251" width="9.109375" style="66" customWidth="1"/>
    <col min="252" max="16384" width="11.44140625" style="66"/>
  </cols>
  <sheetData>
    <row r="1" spans="1:9" s="109" customFormat="1" ht="45" customHeight="1" x14ac:dyDescent="0.3">
      <c r="A1" s="166"/>
      <c r="B1" s="103" t="str">
        <f ca="1">' '!A331</f>
        <v>F E H L E R A N A L Y S E</v>
      </c>
      <c r="C1" s="103"/>
      <c r="D1" s="103"/>
      <c r="E1" s="167"/>
      <c r="F1" s="167"/>
      <c r="G1" s="167"/>
      <c r="H1" s="167"/>
      <c r="I1" s="122"/>
    </row>
    <row r="2" spans="1:9" s="170" customFormat="1" ht="14.25" customHeight="1" x14ac:dyDescent="0.3">
      <c r="B2" s="487" t="str">
        <f ca="1">' '!A337</f>
        <v>vom:</v>
      </c>
      <c r="C2" s="893">
        <v>41640</v>
      </c>
      <c r="D2" s="487" t="str">
        <f ca="1">' '!A338</f>
        <v>bis:</v>
      </c>
      <c r="E2" s="894">
        <v>42004</v>
      </c>
      <c r="I2" s="110"/>
    </row>
    <row r="3" spans="1:9" s="174" customFormat="1" ht="10.5" customHeight="1" x14ac:dyDescent="0.3">
      <c r="A3" s="170"/>
      <c r="B3" s="173"/>
      <c r="D3" s="170"/>
      <c r="I3" s="488"/>
    </row>
    <row r="4" spans="1:9" ht="33" customHeight="1" x14ac:dyDescent="0.3">
      <c r="B4" s="176" t="str">
        <f ca="1">' '!A299</f>
        <v>Ranking</v>
      </c>
      <c r="C4" s="177" t="str">
        <f ca="1">' '!A333</f>
        <v>Fehler</v>
      </c>
      <c r="D4" s="177" t="str">
        <f ca="1">' '!A301</f>
        <v>Häufig-keit</v>
      </c>
      <c r="E4" s="177" t="str">
        <f ca="1">' '!A332</f>
        <v>Prozess / Produkt / Dienstleistung</v>
      </c>
      <c r="F4" s="177" t="str">
        <f ca="1">' '!A334</f>
        <v>Ursachen</v>
      </c>
      <c r="G4" s="177" t="str">
        <f ca="1">' '!A335</f>
        <v>Mögliche Massnahmen</v>
      </c>
      <c r="H4" s="177" t="str">
        <f ca="1">' '!A336</f>
        <v>Auftretenswahr-scheinlichkeit</v>
      </c>
      <c r="I4" s="178" t="str">
        <f ca="1">' '!A64</f>
        <v>Status</v>
      </c>
    </row>
    <row r="5" spans="1:9" s="186" customFormat="1" ht="23.4" x14ac:dyDescent="0.3">
      <c r="A5" s="110"/>
      <c r="B5" s="181">
        <f>IF(D5="","",RANK(D5,D$5:D$24)+COUNTIF(D$5:D5,D5)-1)</f>
        <v>5</v>
      </c>
      <c r="C5" s="182" t="s">
        <v>522</v>
      </c>
      <c r="D5" s="895">
        <v>15</v>
      </c>
      <c r="E5" s="182"/>
      <c r="F5" s="182"/>
      <c r="G5" s="182"/>
      <c r="H5" s="491">
        <v>2</v>
      </c>
      <c r="I5" s="270">
        <v>2</v>
      </c>
    </row>
    <row r="6" spans="1:9" s="186" customFormat="1" ht="23.4" x14ac:dyDescent="0.3">
      <c r="A6" s="110"/>
      <c r="B6" s="181">
        <f>IF(D6="","",RANK(D6,D$5:D$24)+COUNTIF(D$5:D6,D6)-1)</f>
        <v>18</v>
      </c>
      <c r="C6" s="182" t="s">
        <v>523</v>
      </c>
      <c r="D6" s="895">
        <v>2</v>
      </c>
      <c r="E6" s="182"/>
      <c r="F6" s="182"/>
      <c r="G6" s="182"/>
      <c r="H6" s="491">
        <v>1</v>
      </c>
      <c r="I6" s="267"/>
    </row>
    <row r="7" spans="1:9" s="186" customFormat="1" ht="23.4" x14ac:dyDescent="0.3">
      <c r="A7" s="110"/>
      <c r="B7" s="181">
        <f>IF(D7="","",RANK(D7,D$5:D$24)+COUNTIF(D$5:D7,D7)-1)</f>
        <v>10</v>
      </c>
      <c r="C7" s="182" t="s">
        <v>524</v>
      </c>
      <c r="D7" s="895">
        <v>10</v>
      </c>
      <c r="E7" s="182"/>
      <c r="F7" s="182"/>
      <c r="G7" s="182"/>
      <c r="H7" s="491"/>
      <c r="I7" s="270"/>
    </row>
    <row r="8" spans="1:9" s="186" customFormat="1" ht="23.4" x14ac:dyDescent="0.3">
      <c r="A8" s="110"/>
      <c r="B8" s="181">
        <f>IF(D8="","",RANK(D8,D$5:D$24)+COUNTIF(D$5:D8,D8)-1)</f>
        <v>15</v>
      </c>
      <c r="C8" s="182" t="s">
        <v>525</v>
      </c>
      <c r="D8" s="895">
        <v>5</v>
      </c>
      <c r="E8" s="182"/>
      <c r="F8" s="182"/>
      <c r="G8" s="182"/>
      <c r="H8" s="491"/>
      <c r="I8" s="267"/>
    </row>
    <row r="9" spans="1:9" s="186" customFormat="1" ht="23.4" x14ac:dyDescent="0.3">
      <c r="A9" s="110"/>
      <c r="B9" s="181">
        <f>IF(D9="","",RANK(D9,D$5:D$24)+COUNTIF(D$5:D9,D9)-1)</f>
        <v>13</v>
      </c>
      <c r="C9" s="182" t="s">
        <v>526</v>
      </c>
      <c r="D9" s="895">
        <v>7</v>
      </c>
      <c r="E9" s="182"/>
      <c r="F9" s="182"/>
      <c r="G9" s="182"/>
      <c r="H9" s="491"/>
      <c r="I9" s="270"/>
    </row>
    <row r="10" spans="1:9" s="186" customFormat="1" ht="23.4" x14ac:dyDescent="0.3">
      <c r="A10" s="110"/>
      <c r="B10" s="181">
        <f>IF(D10="","",RANK(D10,D$5:D$24)+COUNTIF(D$5:D10,D10)-1)</f>
        <v>6</v>
      </c>
      <c r="C10" s="182" t="s">
        <v>527</v>
      </c>
      <c r="D10" s="895">
        <v>15</v>
      </c>
      <c r="E10" s="182"/>
      <c r="F10" s="182"/>
      <c r="G10" s="182"/>
      <c r="H10" s="491"/>
      <c r="I10" s="267"/>
    </row>
    <row r="11" spans="1:9" s="186" customFormat="1" ht="23.4" x14ac:dyDescent="0.3">
      <c r="A11" s="110"/>
      <c r="B11" s="181">
        <f>IF(D11="","",RANK(D11,D$5:D$24)+COUNTIF(D$5:D11,D11)-1)</f>
        <v>14</v>
      </c>
      <c r="C11" s="182" t="s">
        <v>528</v>
      </c>
      <c r="D11" s="895">
        <v>7</v>
      </c>
      <c r="E11" s="182"/>
      <c r="F11" s="182"/>
      <c r="G11" s="182"/>
      <c r="H11" s="491"/>
      <c r="I11" s="270"/>
    </row>
    <row r="12" spans="1:9" s="186" customFormat="1" ht="23.4" x14ac:dyDescent="0.3">
      <c r="A12" s="110"/>
      <c r="B12" s="181">
        <f>IF(D12="","",RANK(D12,D$5:D$24)+COUNTIF(D$5:D12,D12)-1)</f>
        <v>2</v>
      </c>
      <c r="C12" s="182" t="s">
        <v>529</v>
      </c>
      <c r="D12" s="895">
        <v>80</v>
      </c>
      <c r="E12" s="182"/>
      <c r="F12" s="182"/>
      <c r="G12" s="182"/>
      <c r="H12" s="491"/>
      <c r="I12" s="267"/>
    </row>
    <row r="13" spans="1:9" s="186" customFormat="1" ht="23.4" x14ac:dyDescent="0.3">
      <c r="A13" s="110"/>
      <c r="B13" s="181">
        <f>IF(D13="","",RANK(D13,D$5:D$24)+COUNTIF(D$5:D13,D13)-1)</f>
        <v>12</v>
      </c>
      <c r="C13" s="182" t="s">
        <v>530</v>
      </c>
      <c r="D13" s="895">
        <v>9</v>
      </c>
      <c r="E13" s="182"/>
      <c r="F13" s="182"/>
      <c r="G13" s="182"/>
      <c r="H13" s="491"/>
      <c r="I13" s="270"/>
    </row>
    <row r="14" spans="1:9" s="186" customFormat="1" ht="23.4" x14ac:dyDescent="0.3">
      <c r="A14" s="110"/>
      <c r="B14" s="181">
        <f>IF(D14="","",RANK(D14,D$5:D$24)+COUNTIF(D$5:D14,D14)-1)</f>
        <v>11</v>
      </c>
      <c r="C14" s="182" t="s">
        <v>531</v>
      </c>
      <c r="D14" s="895">
        <v>10</v>
      </c>
      <c r="E14" s="182"/>
      <c r="F14" s="182"/>
      <c r="G14" s="182"/>
      <c r="H14" s="491"/>
      <c r="I14" s="267"/>
    </row>
    <row r="15" spans="1:9" s="186" customFormat="1" ht="23.4" x14ac:dyDescent="0.3">
      <c r="A15" s="110"/>
      <c r="B15" s="181">
        <f>IF(D15="","",RANK(D15,D$5:D$24)+COUNTIF(D$5:D15,D15)-1)</f>
        <v>8</v>
      </c>
      <c r="C15" s="182" t="s">
        <v>532</v>
      </c>
      <c r="D15" s="895">
        <v>12</v>
      </c>
      <c r="E15" s="182"/>
      <c r="F15" s="182"/>
      <c r="G15" s="182"/>
      <c r="H15" s="491"/>
      <c r="I15" s="270"/>
    </row>
    <row r="16" spans="1:9" s="186" customFormat="1" ht="23.4" x14ac:dyDescent="0.3">
      <c r="A16" s="110"/>
      <c r="B16" s="181">
        <f>IF(D16="","",RANK(D16,D$5:D$24)+COUNTIF(D$5:D16,D16)-1)</f>
        <v>9</v>
      </c>
      <c r="C16" s="182" t="s">
        <v>533</v>
      </c>
      <c r="D16" s="895">
        <v>12</v>
      </c>
      <c r="E16" s="182"/>
      <c r="F16" s="182"/>
      <c r="G16" s="182"/>
      <c r="H16" s="491"/>
      <c r="I16" s="267"/>
    </row>
    <row r="17" spans="1:9" s="186" customFormat="1" ht="23.4" x14ac:dyDescent="0.3">
      <c r="A17" s="110"/>
      <c r="B17" s="181">
        <f>IF(D17="","",RANK(D17,D$5:D$24)+COUNTIF(D$5:D17,D17)-1)</f>
        <v>7</v>
      </c>
      <c r="C17" s="182" t="s">
        <v>534</v>
      </c>
      <c r="D17" s="895">
        <v>13</v>
      </c>
      <c r="E17" s="182"/>
      <c r="F17" s="182"/>
      <c r="G17" s="182"/>
      <c r="H17" s="491"/>
      <c r="I17" s="267"/>
    </row>
    <row r="18" spans="1:9" s="186" customFormat="1" ht="23.4" x14ac:dyDescent="0.3">
      <c r="A18" s="110"/>
      <c r="B18" s="181">
        <f>IF(D18="","",RANK(D18,D$5:D$24)+COUNTIF(D$5:D18,D18)-1)</f>
        <v>17</v>
      </c>
      <c r="C18" s="182" t="s">
        <v>535</v>
      </c>
      <c r="D18" s="895">
        <v>3</v>
      </c>
      <c r="E18" s="182"/>
      <c r="F18" s="182"/>
      <c r="G18" s="182"/>
      <c r="H18" s="491"/>
      <c r="I18" s="270"/>
    </row>
    <row r="19" spans="1:9" s="186" customFormat="1" ht="23.4" x14ac:dyDescent="0.3">
      <c r="A19" s="110"/>
      <c r="B19" s="181">
        <f>IF(D19="","",RANK(D19,D$5:D$24)+COUNTIF(D$5:D19,D19)-1)</f>
        <v>4</v>
      </c>
      <c r="C19" s="182" t="s">
        <v>536</v>
      </c>
      <c r="D19" s="895">
        <v>45</v>
      </c>
      <c r="E19" s="182"/>
      <c r="F19" s="182"/>
      <c r="G19" s="182"/>
      <c r="H19" s="491"/>
      <c r="I19" s="267"/>
    </row>
    <row r="20" spans="1:9" s="186" customFormat="1" ht="23.4" x14ac:dyDescent="0.3">
      <c r="A20" s="110"/>
      <c r="B20" s="181">
        <f>IF(D20="","",RANK(D20,D$5:D$24)+COUNTIF(D$5:D20,D20)-1)</f>
        <v>19</v>
      </c>
      <c r="C20" s="182" t="s">
        <v>537</v>
      </c>
      <c r="D20" s="895">
        <v>2</v>
      </c>
      <c r="E20" s="182"/>
      <c r="F20" s="182"/>
      <c r="G20" s="182"/>
      <c r="H20" s="491"/>
      <c r="I20" s="270"/>
    </row>
    <row r="21" spans="1:9" s="186" customFormat="1" ht="23.4" x14ac:dyDescent="0.3">
      <c r="A21" s="110"/>
      <c r="B21" s="181">
        <f>IF(D21="","",RANK(D21,D$5:D$24)+COUNTIF(D$5:D21,D21)-1)</f>
        <v>3</v>
      </c>
      <c r="C21" s="182" t="s">
        <v>538</v>
      </c>
      <c r="D21" s="895">
        <v>55</v>
      </c>
      <c r="E21" s="182"/>
      <c r="F21" s="182"/>
      <c r="G21" s="182"/>
      <c r="H21" s="491"/>
      <c r="I21" s="267"/>
    </row>
    <row r="22" spans="1:9" s="186" customFormat="1" ht="23.4" x14ac:dyDescent="0.3">
      <c r="A22" s="110"/>
      <c r="B22" s="181">
        <f>IF(D22="","",RANK(D22,D$5:D$24)+COUNTIF(D$5:D22,D22)-1)</f>
        <v>1</v>
      </c>
      <c r="C22" s="182" t="s">
        <v>539</v>
      </c>
      <c r="D22" s="895">
        <v>86</v>
      </c>
      <c r="E22" s="182"/>
      <c r="F22" s="182"/>
      <c r="G22" s="182"/>
      <c r="H22" s="491"/>
      <c r="I22" s="267"/>
    </row>
    <row r="23" spans="1:9" s="186" customFormat="1" ht="23.4" x14ac:dyDescent="0.3">
      <c r="A23" s="110"/>
      <c r="B23" s="181">
        <f>IF(D23="","",RANK(D23,D$5:D$24)+COUNTIF(D$5:D23,D23)-1)</f>
        <v>16</v>
      </c>
      <c r="C23" s="182" t="s">
        <v>540</v>
      </c>
      <c r="D23" s="895">
        <v>5</v>
      </c>
      <c r="E23" s="182"/>
      <c r="F23" s="182"/>
      <c r="G23" s="182"/>
      <c r="H23" s="491"/>
      <c r="I23" s="270"/>
    </row>
    <row r="24" spans="1:9" s="186" customFormat="1" ht="23.4" x14ac:dyDescent="0.3">
      <c r="A24" s="110"/>
      <c r="B24" s="187" t="str">
        <f>IF(D24="","",RANK(D24,D$5:D$24)+COUNTIF(D$5:D24,D24)-1)</f>
        <v/>
      </c>
      <c r="C24" s="188"/>
      <c r="D24" s="896"/>
      <c r="E24" s="188"/>
      <c r="F24" s="188"/>
      <c r="G24" s="188"/>
      <c r="H24" s="495"/>
      <c r="I24" s="897"/>
    </row>
    <row r="25" spans="1:9" x14ac:dyDescent="0.3">
      <c r="A25" s="170"/>
      <c r="B25" s="74" t="s">
        <v>2103</v>
      </c>
      <c r="E25" s="66"/>
      <c r="F25" s="66"/>
      <c r="G25" s="66"/>
      <c r="H25" s="66"/>
    </row>
    <row r="26" spans="1:9" x14ac:dyDescent="0.3">
      <c r="A26" s="170"/>
      <c r="E26" s="66"/>
      <c r="F26" s="66"/>
      <c r="G26" s="66"/>
      <c r="H26" s="66"/>
    </row>
    <row r="27" spans="1:9" x14ac:dyDescent="0.3">
      <c r="A27" s="170"/>
      <c r="E27" s="66"/>
      <c r="F27" s="66"/>
      <c r="G27" s="66"/>
      <c r="H27" s="66"/>
    </row>
    <row r="28" spans="1:9" x14ac:dyDescent="0.3">
      <c r="A28" s="170"/>
      <c r="B28" s="179" t="s">
        <v>0</v>
      </c>
      <c r="C28" s="179" t="s">
        <v>1</v>
      </c>
      <c r="D28" s="179" t="s">
        <v>2</v>
      </c>
      <c r="E28" s="180" t="s">
        <v>3</v>
      </c>
      <c r="F28" s="180"/>
      <c r="G28" s="498"/>
      <c r="H28" s="498"/>
    </row>
    <row r="29" spans="1:9" x14ac:dyDescent="0.3">
      <c r="A29" s="170"/>
      <c r="B29" s="184" t="str">
        <f t="shared" ref="B29:B48" si="0">IF(D5="","",INDEX($B$5:$D$24,MATCH(D29,$B$5:$B$24,0),2))</f>
        <v>Error 18</v>
      </c>
      <c r="C29" s="184">
        <f t="shared" ref="C29:C48" si="1">IF(D5="","",INDEX($B$5:$D$24,MATCH(D29,$B$5:$B$24,0),3))</f>
        <v>86</v>
      </c>
      <c r="D29" s="184">
        <v>1</v>
      </c>
      <c r="E29" s="185">
        <f>IF(C29="","",C29/SUM($C$29:$C$48))</f>
        <v>0.21882951653944022</v>
      </c>
      <c r="F29" s="185"/>
      <c r="G29" s="499"/>
      <c r="H29" s="499"/>
    </row>
    <row r="30" spans="1:9" x14ac:dyDescent="0.3">
      <c r="A30" s="170"/>
      <c r="B30" s="184" t="str">
        <f t="shared" si="0"/>
        <v>Error 8</v>
      </c>
      <c r="C30" s="184">
        <f t="shared" si="1"/>
        <v>80</v>
      </c>
      <c r="D30" s="184">
        <v>2</v>
      </c>
      <c r="E30" s="185">
        <f t="shared" ref="E30:E48" si="2">IF(C30="","",(C30/SUM($C$29:$C$48)+E29))</f>
        <v>0.42239185750636132</v>
      </c>
      <c r="F30" s="185"/>
      <c r="G30" s="499"/>
      <c r="H30" s="499"/>
    </row>
    <row r="31" spans="1:9" x14ac:dyDescent="0.3">
      <c r="A31" s="170"/>
      <c r="B31" s="184" t="str">
        <f t="shared" si="0"/>
        <v>Error 17</v>
      </c>
      <c r="C31" s="184">
        <f t="shared" si="1"/>
        <v>55</v>
      </c>
      <c r="D31" s="184">
        <v>3</v>
      </c>
      <c r="E31" s="185">
        <f t="shared" si="2"/>
        <v>0.56234096692111957</v>
      </c>
      <c r="F31" s="185"/>
      <c r="G31" s="499"/>
      <c r="H31" s="499"/>
    </row>
    <row r="32" spans="1:9" x14ac:dyDescent="0.3">
      <c r="A32" s="170"/>
      <c r="B32" s="184" t="str">
        <f t="shared" si="0"/>
        <v>Error 15</v>
      </c>
      <c r="C32" s="184">
        <f t="shared" si="1"/>
        <v>45</v>
      </c>
      <c r="D32" s="184">
        <v>4</v>
      </c>
      <c r="E32" s="185">
        <f t="shared" si="2"/>
        <v>0.67684478371501267</v>
      </c>
      <c r="F32" s="185"/>
      <c r="G32" s="499"/>
      <c r="H32" s="499"/>
    </row>
    <row r="33" spans="1:8" x14ac:dyDescent="0.3">
      <c r="A33" s="170"/>
      <c r="B33" s="184" t="str">
        <f t="shared" si="0"/>
        <v>Error 1</v>
      </c>
      <c r="C33" s="184">
        <f t="shared" si="1"/>
        <v>15</v>
      </c>
      <c r="D33" s="184">
        <v>5</v>
      </c>
      <c r="E33" s="185">
        <f t="shared" si="2"/>
        <v>0.71501272264631033</v>
      </c>
      <c r="F33" s="185"/>
      <c r="G33" s="499"/>
      <c r="H33" s="499"/>
    </row>
    <row r="34" spans="1:8" x14ac:dyDescent="0.3">
      <c r="A34" s="170"/>
      <c r="B34" s="184" t="str">
        <f t="shared" si="0"/>
        <v>Error 6</v>
      </c>
      <c r="C34" s="184">
        <f t="shared" si="1"/>
        <v>15</v>
      </c>
      <c r="D34" s="184">
        <v>6</v>
      </c>
      <c r="E34" s="185">
        <f t="shared" si="2"/>
        <v>0.75318066157760799</v>
      </c>
      <c r="F34" s="185"/>
      <c r="G34" s="499"/>
      <c r="H34" s="499"/>
    </row>
    <row r="35" spans="1:8" x14ac:dyDescent="0.3">
      <c r="A35" s="170"/>
      <c r="B35" s="184" t="str">
        <f t="shared" si="0"/>
        <v>Error 13</v>
      </c>
      <c r="C35" s="184">
        <f t="shared" si="1"/>
        <v>13</v>
      </c>
      <c r="D35" s="184">
        <v>7</v>
      </c>
      <c r="E35" s="185">
        <f t="shared" si="2"/>
        <v>0.78625954198473269</v>
      </c>
      <c r="F35" s="185"/>
      <c r="G35" s="499"/>
      <c r="H35" s="499"/>
    </row>
    <row r="36" spans="1:8" x14ac:dyDescent="0.3">
      <c r="A36" s="170"/>
      <c r="B36" s="184" t="str">
        <f t="shared" si="0"/>
        <v>Error 11</v>
      </c>
      <c r="C36" s="184">
        <f t="shared" si="1"/>
        <v>12</v>
      </c>
      <c r="D36" s="184">
        <v>8</v>
      </c>
      <c r="E36" s="185">
        <f t="shared" si="2"/>
        <v>0.81679389312977091</v>
      </c>
      <c r="F36" s="185"/>
      <c r="G36" s="499"/>
      <c r="H36" s="499"/>
    </row>
    <row r="37" spans="1:8" x14ac:dyDescent="0.3">
      <c r="A37" s="170"/>
      <c r="B37" s="184" t="str">
        <f t="shared" si="0"/>
        <v>Error 12</v>
      </c>
      <c r="C37" s="184">
        <f t="shared" si="1"/>
        <v>12</v>
      </c>
      <c r="D37" s="184">
        <v>9</v>
      </c>
      <c r="E37" s="185">
        <f t="shared" si="2"/>
        <v>0.84732824427480913</v>
      </c>
      <c r="F37" s="185"/>
      <c r="G37" s="499"/>
      <c r="H37" s="499"/>
    </row>
    <row r="38" spans="1:8" x14ac:dyDescent="0.3">
      <c r="A38" s="170"/>
      <c r="B38" s="184" t="str">
        <f t="shared" si="0"/>
        <v>Error 3</v>
      </c>
      <c r="C38" s="184">
        <f t="shared" si="1"/>
        <v>10</v>
      </c>
      <c r="D38" s="184">
        <v>10</v>
      </c>
      <c r="E38" s="185">
        <f t="shared" si="2"/>
        <v>0.87277353689567427</v>
      </c>
      <c r="F38" s="185"/>
      <c r="G38" s="499"/>
      <c r="H38" s="499"/>
    </row>
    <row r="39" spans="1:8" x14ac:dyDescent="0.3">
      <c r="A39" s="170"/>
      <c r="B39" s="184" t="str">
        <f t="shared" si="0"/>
        <v>Error 10</v>
      </c>
      <c r="C39" s="184">
        <f t="shared" si="1"/>
        <v>10</v>
      </c>
      <c r="D39" s="184">
        <v>11</v>
      </c>
      <c r="E39" s="185">
        <f t="shared" si="2"/>
        <v>0.89821882951653942</v>
      </c>
      <c r="F39" s="185"/>
      <c r="G39" s="499"/>
      <c r="H39" s="499"/>
    </row>
    <row r="40" spans="1:8" x14ac:dyDescent="0.3">
      <c r="A40" s="170"/>
      <c r="B40" s="184" t="str">
        <f t="shared" si="0"/>
        <v>Error 9</v>
      </c>
      <c r="C40" s="184">
        <f t="shared" si="1"/>
        <v>9</v>
      </c>
      <c r="D40" s="184">
        <v>12</v>
      </c>
      <c r="E40" s="185">
        <f t="shared" si="2"/>
        <v>0.92111959287531808</v>
      </c>
      <c r="F40" s="185"/>
      <c r="G40" s="499"/>
      <c r="H40" s="499"/>
    </row>
    <row r="41" spans="1:8" x14ac:dyDescent="0.3">
      <c r="A41" s="170"/>
      <c r="B41" s="184" t="str">
        <f t="shared" si="0"/>
        <v>Error 5</v>
      </c>
      <c r="C41" s="184">
        <f t="shared" si="1"/>
        <v>7</v>
      </c>
      <c r="D41" s="184">
        <v>13</v>
      </c>
      <c r="E41" s="185">
        <f t="shared" si="2"/>
        <v>0.93893129770992367</v>
      </c>
      <c r="F41" s="185"/>
      <c r="G41" s="499"/>
      <c r="H41" s="499"/>
    </row>
    <row r="42" spans="1:8" x14ac:dyDescent="0.3">
      <c r="A42" s="170"/>
      <c r="B42" s="184" t="str">
        <f t="shared" si="0"/>
        <v>Error 7</v>
      </c>
      <c r="C42" s="184">
        <f t="shared" si="1"/>
        <v>7</v>
      </c>
      <c r="D42" s="184">
        <v>14</v>
      </c>
      <c r="E42" s="185">
        <f t="shared" si="2"/>
        <v>0.95674300254452926</v>
      </c>
      <c r="F42" s="185"/>
      <c r="G42" s="499"/>
      <c r="H42" s="499"/>
    </row>
    <row r="43" spans="1:8" x14ac:dyDescent="0.3">
      <c r="A43" s="170"/>
      <c r="B43" s="184" t="str">
        <f t="shared" si="0"/>
        <v>Error 4</v>
      </c>
      <c r="C43" s="184">
        <f t="shared" si="1"/>
        <v>5</v>
      </c>
      <c r="D43" s="184">
        <v>15</v>
      </c>
      <c r="E43" s="185">
        <f t="shared" si="2"/>
        <v>0.96946564885496178</v>
      </c>
      <c r="F43" s="185"/>
      <c r="G43" s="499"/>
      <c r="H43" s="499"/>
    </row>
    <row r="44" spans="1:8" x14ac:dyDescent="0.3">
      <c r="A44" s="170"/>
      <c r="B44" s="184" t="str">
        <f t="shared" si="0"/>
        <v>Error 19</v>
      </c>
      <c r="C44" s="184">
        <f t="shared" si="1"/>
        <v>5</v>
      </c>
      <c r="D44" s="184">
        <v>16</v>
      </c>
      <c r="E44" s="185">
        <f t="shared" si="2"/>
        <v>0.9821882951653943</v>
      </c>
      <c r="F44" s="185"/>
      <c r="G44" s="499"/>
      <c r="H44" s="499"/>
    </row>
    <row r="45" spans="1:8" x14ac:dyDescent="0.3">
      <c r="A45" s="170"/>
      <c r="B45" s="184" t="str">
        <f t="shared" si="0"/>
        <v>Error 14</v>
      </c>
      <c r="C45" s="184">
        <f t="shared" si="1"/>
        <v>3</v>
      </c>
      <c r="D45" s="184">
        <v>17</v>
      </c>
      <c r="E45" s="185">
        <f t="shared" si="2"/>
        <v>0.98982188295165385</v>
      </c>
      <c r="F45" s="185"/>
      <c r="G45" s="499"/>
      <c r="H45" s="499"/>
    </row>
    <row r="46" spans="1:8" x14ac:dyDescent="0.3">
      <c r="A46" s="170"/>
      <c r="B46" s="184" t="str">
        <f t="shared" si="0"/>
        <v>Error 2</v>
      </c>
      <c r="C46" s="184">
        <f t="shared" si="1"/>
        <v>2</v>
      </c>
      <c r="D46" s="184">
        <v>18</v>
      </c>
      <c r="E46" s="185">
        <f t="shared" si="2"/>
        <v>0.99491094147582693</v>
      </c>
      <c r="F46" s="185"/>
      <c r="G46" s="499"/>
      <c r="H46" s="499"/>
    </row>
    <row r="47" spans="1:8" x14ac:dyDescent="0.3">
      <c r="A47" s="170"/>
      <c r="B47" s="184" t="str">
        <f t="shared" si="0"/>
        <v>Error 16</v>
      </c>
      <c r="C47" s="184">
        <f t="shared" si="1"/>
        <v>2</v>
      </c>
      <c r="D47" s="184">
        <v>19</v>
      </c>
      <c r="E47" s="185">
        <f t="shared" si="2"/>
        <v>1</v>
      </c>
      <c r="F47" s="185"/>
      <c r="G47" s="499"/>
      <c r="H47" s="499"/>
    </row>
    <row r="48" spans="1:8" x14ac:dyDescent="0.3">
      <c r="A48" s="170"/>
      <c r="B48" s="184" t="str">
        <f t="shared" si="0"/>
        <v/>
      </c>
      <c r="C48" s="184" t="str">
        <f t="shared" si="1"/>
        <v/>
      </c>
      <c r="D48" s="184">
        <v>20</v>
      </c>
      <c r="E48" s="185" t="str">
        <f t="shared" si="2"/>
        <v/>
      </c>
      <c r="F48" s="185"/>
      <c r="G48" s="499"/>
      <c r="H48" s="499"/>
    </row>
    <row r="49" spans="1:8" x14ac:dyDescent="0.3">
      <c r="A49" s="170"/>
      <c r="E49" s="66"/>
      <c r="F49" s="66"/>
      <c r="G49" s="66"/>
      <c r="H49" s="66"/>
    </row>
    <row r="50" spans="1:8" x14ac:dyDescent="0.3">
      <c r="A50" s="170"/>
      <c r="E50" s="66"/>
      <c r="F50" s="66"/>
      <c r="G50" s="66"/>
      <c r="H50" s="66"/>
    </row>
    <row r="51" spans="1:8" x14ac:dyDescent="0.3">
      <c r="A51" s="170"/>
      <c r="E51" s="66"/>
      <c r="F51" s="66"/>
      <c r="G51" s="66"/>
      <c r="H51" s="66"/>
    </row>
    <row r="52" spans="1:8" x14ac:dyDescent="0.3">
      <c r="A52" s="170"/>
      <c r="E52" s="66"/>
      <c r="F52" s="66"/>
      <c r="G52" s="66"/>
      <c r="H52" s="66"/>
    </row>
    <row r="53" spans="1:8" x14ac:dyDescent="0.3">
      <c r="A53" s="170"/>
      <c r="E53" s="66"/>
      <c r="F53" s="66"/>
      <c r="G53" s="66"/>
      <c r="H53" s="66"/>
    </row>
    <row r="54" spans="1:8" x14ac:dyDescent="0.3">
      <c r="A54" s="170"/>
      <c r="E54" s="66"/>
      <c r="F54" s="66"/>
      <c r="G54" s="66"/>
      <c r="H54" s="66"/>
    </row>
    <row r="55" spans="1:8" x14ac:dyDescent="0.3">
      <c r="A55" s="170"/>
      <c r="E55" s="66"/>
      <c r="F55" s="66"/>
      <c r="G55" s="66"/>
      <c r="H55" s="66"/>
    </row>
    <row r="56" spans="1:8" x14ac:dyDescent="0.3">
      <c r="B56" s="500"/>
    </row>
    <row r="57" spans="1:8" ht="0.9" customHeight="1" x14ac:dyDescent="0.3">
      <c r="A57" s="277"/>
    </row>
  </sheetData>
  <sheetProtection sheet="1" objects="1" scenarios="1" formatCells="0" formatColumns="0" formatRows="0" insertHyperlinks="0" selectLockedCells="1" sort="0" autoFilter="0"/>
  <conditionalFormatting sqref="B5:I24">
    <cfRule type="expression" dxfId="110" priority="3">
      <formula>MOD(ROW(A1),2)=0</formula>
    </cfRule>
    <cfRule type="expression" dxfId="109" priority="4">
      <formula>MOD(ROW(A2),2)=0</formula>
    </cfRule>
  </conditionalFormatting>
  <conditionalFormatting sqref="H5:H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I5:I21" xr:uid="{00000000-0002-0000-0600-000000000000}">
      <formula1>"1,2,3"</formula1>
    </dataValidation>
    <dataValidation type="list" allowBlank="1" showInputMessage="1" showErrorMessage="1" sqref="H5:H24" xr:uid="{00000000-0002-0000-0600-000001000000}">
      <formula1>"1,2,3,4,5,6,7,8,9,10"</formula1>
    </dataValidation>
  </dataValidations>
  <pageMargins left="0.25" right="0.25" top="0.75" bottom="0.75" header="0.3" footer="0.3"/>
  <pageSetup paperSize="8" scale="90" orientation="portrait" horizontalDpi="1200" verticalDpi="1200" r:id="rId1"/>
  <headerFooter alignWithMargins="0">
    <oddFooter>&amp;L&amp;8&amp;K00-049(c)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BA8B16D0-3636-4BBB-AAAA-143B83EC10E1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I5:I24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34998626667073579"/>
    <pageSetUpPr fitToPage="1"/>
  </sheetPr>
  <dimension ref="A1:N104"/>
  <sheetViews>
    <sheetView showGridLines="0" zoomScaleNormal="100" workbookViewId="0">
      <pane ySplit="4" topLeftCell="A5" activePane="bottomLeft" state="frozen"/>
      <selection activeCell="N13" sqref="N13"/>
      <selection pane="bottomLeft" activeCell="B5" sqref="B5"/>
    </sheetView>
  </sheetViews>
  <sheetFormatPr baseColWidth="10" defaultColWidth="12.5546875" defaultRowHeight="14.4" x14ac:dyDescent="0.3"/>
  <cols>
    <col min="1" max="1" width="7" style="416" customWidth="1"/>
    <col min="2" max="2" width="4.5546875" style="417" customWidth="1"/>
    <col min="3" max="3" width="42.44140625" style="417" customWidth="1"/>
    <col min="4" max="4" width="8.109375" style="417" bestFit="1" customWidth="1"/>
    <col min="5" max="5" width="9.109375" style="417" bestFit="1" customWidth="1"/>
    <col min="6" max="6" width="9" style="417" bestFit="1" customWidth="1"/>
    <col min="7" max="7" width="45.5546875" style="417" customWidth="1"/>
    <col min="8" max="8" width="7" style="417" customWidth="1"/>
    <col min="9" max="9" width="0.109375" style="417" customWidth="1"/>
    <col min="10" max="23" width="4" style="417" customWidth="1"/>
    <col min="24" max="16384" width="12.5546875" style="417"/>
  </cols>
  <sheetData>
    <row r="1" spans="1:14" s="414" customFormat="1" ht="45" customHeight="1" x14ac:dyDescent="0.3">
      <c r="A1" s="882"/>
      <c r="B1" s="411" t="str">
        <f ca="1">' '!A530</f>
        <v>E I S E N H O W E R   M A T R I X</v>
      </c>
      <c r="C1" s="411"/>
      <c r="D1" s="411"/>
      <c r="E1" s="411"/>
      <c r="F1" s="411"/>
      <c r="G1" s="411"/>
      <c r="H1" s="412"/>
      <c r="I1" s="413"/>
    </row>
    <row r="2" spans="1:14" s="416" customFormat="1" ht="14.25" customHeight="1" x14ac:dyDescent="0.3">
      <c r="A2" s="415"/>
    </row>
    <row r="3" spans="1:14" ht="10.5" customHeight="1" x14ac:dyDescent="0.3">
      <c r="A3" s="139"/>
      <c r="C3" s="416"/>
    </row>
    <row r="4" spans="1:14" ht="33.75" customHeight="1" x14ac:dyDescent="0.3">
      <c r="B4" s="418" t="str">
        <f ca="1">' '!A384</f>
        <v>Nr.</v>
      </c>
      <c r="C4" s="419" t="str">
        <f ca="1">' '!A531</f>
        <v>Aufgabe</v>
      </c>
      <c r="D4" s="419" t="str">
        <f ca="1">' '!A532</f>
        <v>wichtig</v>
      </c>
      <c r="E4" s="419" t="str">
        <f ca="1">' '!A534</f>
        <v>dringend</v>
      </c>
      <c r="F4" s="419" t="str">
        <f ca="1">' '!A535</f>
        <v>Aufwand</v>
      </c>
      <c r="G4" s="419" t="str">
        <f ca="1">' '!A40</f>
        <v>Bemerkungen</v>
      </c>
      <c r="H4" s="420" t="str">
        <f ca="1">' '!A41</f>
        <v>Status</v>
      </c>
    </row>
    <row r="5" spans="1:14" ht="23.4" x14ac:dyDescent="0.3">
      <c r="B5" s="883" t="s">
        <v>1693</v>
      </c>
      <c r="C5" s="884" t="s">
        <v>1692</v>
      </c>
      <c r="D5" s="885">
        <v>3</v>
      </c>
      <c r="E5" s="885">
        <v>7</v>
      </c>
      <c r="F5" s="424">
        <v>2</v>
      </c>
      <c r="G5" s="884"/>
      <c r="H5" s="886">
        <v>3</v>
      </c>
      <c r="I5" s="426">
        <f>IF(F5=3,3,
IF(F5=2,2,1))</f>
        <v>2</v>
      </c>
      <c r="L5" s="427"/>
      <c r="M5" s="427"/>
      <c r="N5" s="428"/>
    </row>
    <row r="6" spans="1:14" ht="23.4" x14ac:dyDescent="0.3">
      <c r="B6" s="883" t="s">
        <v>1694</v>
      </c>
      <c r="C6" s="884" t="s">
        <v>1896</v>
      </c>
      <c r="D6" s="885">
        <v>10</v>
      </c>
      <c r="E6" s="885">
        <v>9</v>
      </c>
      <c r="F6" s="424">
        <v>1</v>
      </c>
      <c r="G6" s="887"/>
      <c r="H6" s="886">
        <v>1</v>
      </c>
      <c r="I6" s="426">
        <f t="shared" ref="I6:I24" si="0">IF(F6=3,3,
IF(F6=2,2,1))</f>
        <v>1</v>
      </c>
      <c r="L6" s="416"/>
      <c r="M6" s="416"/>
      <c r="N6" s="428"/>
    </row>
    <row r="7" spans="1:14" ht="23.4" x14ac:dyDescent="0.3">
      <c r="B7" s="883" t="s">
        <v>1695</v>
      </c>
      <c r="C7" s="884" t="s">
        <v>1897</v>
      </c>
      <c r="D7" s="885">
        <v>2</v>
      </c>
      <c r="E7" s="885">
        <v>2</v>
      </c>
      <c r="F7" s="424">
        <v>3</v>
      </c>
      <c r="G7" s="884"/>
      <c r="H7" s="886"/>
      <c r="I7" s="426">
        <f t="shared" si="0"/>
        <v>3</v>
      </c>
      <c r="L7" s="416"/>
      <c r="M7" s="416"/>
      <c r="N7" s="428"/>
    </row>
    <row r="8" spans="1:14" ht="23.4" x14ac:dyDescent="0.3">
      <c r="B8" s="883" t="s">
        <v>1696</v>
      </c>
      <c r="C8" s="884"/>
      <c r="D8" s="885"/>
      <c r="E8" s="885"/>
      <c r="F8" s="424"/>
      <c r="G8" s="884"/>
      <c r="H8" s="886"/>
      <c r="I8" s="426">
        <f t="shared" si="0"/>
        <v>1</v>
      </c>
      <c r="L8" s="416"/>
      <c r="M8" s="416"/>
      <c r="N8" s="428"/>
    </row>
    <row r="9" spans="1:14" ht="23.4" x14ac:dyDescent="0.3">
      <c r="B9" s="883" t="s">
        <v>1697</v>
      </c>
      <c r="C9" s="884"/>
      <c r="D9" s="885"/>
      <c r="E9" s="885"/>
      <c r="F9" s="424"/>
      <c r="G9" s="884"/>
      <c r="H9" s="886"/>
      <c r="I9" s="426">
        <f t="shared" si="0"/>
        <v>1</v>
      </c>
      <c r="L9" s="416"/>
      <c r="M9" s="416"/>
      <c r="N9" s="428"/>
    </row>
    <row r="10" spans="1:14" ht="23.4" x14ac:dyDescent="0.3">
      <c r="B10" s="883" t="s">
        <v>1698</v>
      </c>
      <c r="C10" s="884"/>
      <c r="D10" s="885"/>
      <c r="E10" s="885"/>
      <c r="F10" s="424"/>
      <c r="G10" s="884"/>
      <c r="H10" s="886"/>
      <c r="I10" s="426">
        <f t="shared" si="0"/>
        <v>1</v>
      </c>
      <c r="L10" s="416"/>
      <c r="M10" s="416"/>
      <c r="N10" s="428"/>
    </row>
    <row r="11" spans="1:14" ht="23.4" x14ac:dyDescent="0.3">
      <c r="B11" s="883" t="s">
        <v>1699</v>
      </c>
      <c r="C11" s="884"/>
      <c r="D11" s="885"/>
      <c r="E11" s="885"/>
      <c r="F11" s="424"/>
      <c r="G11" s="884"/>
      <c r="H11" s="886"/>
      <c r="I11" s="426">
        <f t="shared" si="0"/>
        <v>1</v>
      </c>
      <c r="L11" s="416"/>
      <c r="M11" s="416"/>
      <c r="N11" s="428"/>
    </row>
    <row r="12" spans="1:14" ht="23.4" x14ac:dyDescent="0.3">
      <c r="B12" s="883" t="s">
        <v>1700</v>
      </c>
      <c r="C12" s="884"/>
      <c r="D12" s="885"/>
      <c r="E12" s="885"/>
      <c r="F12" s="424"/>
      <c r="G12" s="884"/>
      <c r="H12" s="886"/>
      <c r="I12" s="426">
        <f t="shared" si="0"/>
        <v>1</v>
      </c>
      <c r="L12" s="416"/>
      <c r="M12" s="416"/>
      <c r="N12" s="428"/>
    </row>
    <row r="13" spans="1:14" ht="23.4" x14ac:dyDescent="0.3">
      <c r="B13" s="883" t="s">
        <v>1701</v>
      </c>
      <c r="C13" s="884"/>
      <c r="D13" s="885"/>
      <c r="E13" s="885"/>
      <c r="F13" s="424"/>
      <c r="G13" s="884"/>
      <c r="H13" s="886"/>
      <c r="I13" s="426">
        <f t="shared" si="0"/>
        <v>1</v>
      </c>
      <c r="L13" s="416"/>
      <c r="M13" s="416"/>
      <c r="N13" s="428"/>
    </row>
    <row r="14" spans="1:14" ht="23.4" x14ac:dyDescent="0.3">
      <c r="B14" s="883" t="s">
        <v>1702</v>
      </c>
      <c r="C14" s="884"/>
      <c r="D14" s="885"/>
      <c r="E14" s="885"/>
      <c r="F14" s="424"/>
      <c r="G14" s="884"/>
      <c r="H14" s="886"/>
      <c r="I14" s="426">
        <f t="shared" si="0"/>
        <v>1</v>
      </c>
      <c r="L14" s="416"/>
      <c r="M14" s="416"/>
      <c r="N14" s="428"/>
    </row>
    <row r="15" spans="1:14" ht="23.4" x14ac:dyDescent="0.3">
      <c r="B15" s="883" t="s">
        <v>1703</v>
      </c>
      <c r="C15" s="884"/>
      <c r="D15" s="885"/>
      <c r="E15" s="885"/>
      <c r="F15" s="424"/>
      <c r="G15" s="884"/>
      <c r="H15" s="886"/>
      <c r="I15" s="426">
        <f t="shared" si="0"/>
        <v>1</v>
      </c>
      <c r="L15" s="416"/>
      <c r="M15" s="416"/>
      <c r="N15" s="428"/>
    </row>
    <row r="16" spans="1:14" ht="23.4" x14ac:dyDescent="0.3">
      <c r="B16" s="883" t="s">
        <v>1704</v>
      </c>
      <c r="C16" s="884"/>
      <c r="D16" s="885"/>
      <c r="E16" s="885"/>
      <c r="F16" s="424"/>
      <c r="G16" s="884"/>
      <c r="H16" s="886"/>
      <c r="I16" s="426">
        <f t="shared" si="0"/>
        <v>1</v>
      </c>
      <c r="L16" s="416"/>
      <c r="M16" s="416"/>
      <c r="N16" s="428"/>
    </row>
    <row r="17" spans="2:14" ht="23.4" x14ac:dyDescent="0.3">
      <c r="B17" s="883" t="s">
        <v>1705</v>
      </c>
      <c r="C17" s="884"/>
      <c r="D17" s="885"/>
      <c r="E17" s="885"/>
      <c r="F17" s="424"/>
      <c r="G17" s="884"/>
      <c r="H17" s="886"/>
      <c r="I17" s="426">
        <f t="shared" si="0"/>
        <v>1</v>
      </c>
      <c r="L17" s="416"/>
      <c r="M17" s="416"/>
      <c r="N17" s="428"/>
    </row>
    <row r="18" spans="2:14" ht="23.4" x14ac:dyDescent="0.3">
      <c r="B18" s="883" t="s">
        <v>1706</v>
      </c>
      <c r="C18" s="884"/>
      <c r="D18" s="885"/>
      <c r="E18" s="885"/>
      <c r="F18" s="424"/>
      <c r="G18" s="884"/>
      <c r="H18" s="886"/>
      <c r="I18" s="426">
        <f t="shared" si="0"/>
        <v>1</v>
      </c>
      <c r="L18" s="416"/>
      <c r="M18" s="416"/>
      <c r="N18" s="428"/>
    </row>
    <row r="19" spans="2:14" ht="23.4" x14ac:dyDescent="0.3">
      <c r="B19" s="883" t="s">
        <v>1707</v>
      </c>
      <c r="C19" s="884"/>
      <c r="D19" s="885"/>
      <c r="E19" s="885"/>
      <c r="F19" s="424"/>
      <c r="G19" s="884"/>
      <c r="H19" s="886"/>
      <c r="I19" s="426">
        <f t="shared" si="0"/>
        <v>1</v>
      </c>
      <c r="L19" s="416"/>
      <c r="M19" s="416"/>
      <c r="N19" s="428"/>
    </row>
    <row r="20" spans="2:14" ht="23.4" x14ac:dyDescent="0.3">
      <c r="B20" s="883" t="s">
        <v>1708</v>
      </c>
      <c r="C20" s="884"/>
      <c r="D20" s="885"/>
      <c r="E20" s="885"/>
      <c r="F20" s="424"/>
      <c r="G20" s="884"/>
      <c r="H20" s="886"/>
      <c r="I20" s="426">
        <f t="shared" si="0"/>
        <v>1</v>
      </c>
      <c r="L20" s="416"/>
      <c r="M20" s="416"/>
      <c r="N20" s="428"/>
    </row>
    <row r="21" spans="2:14" ht="23.4" x14ac:dyDescent="0.3">
      <c r="B21" s="883" t="s">
        <v>1709</v>
      </c>
      <c r="C21" s="884"/>
      <c r="D21" s="885"/>
      <c r="E21" s="885"/>
      <c r="F21" s="424"/>
      <c r="G21" s="884"/>
      <c r="H21" s="886"/>
      <c r="I21" s="426">
        <f t="shared" si="0"/>
        <v>1</v>
      </c>
      <c r="L21" s="416"/>
      <c r="M21" s="416"/>
      <c r="N21" s="428"/>
    </row>
    <row r="22" spans="2:14" ht="23.4" x14ac:dyDescent="0.3">
      <c r="B22" s="883" t="s">
        <v>1710</v>
      </c>
      <c r="C22" s="884"/>
      <c r="D22" s="885"/>
      <c r="E22" s="885"/>
      <c r="F22" s="424"/>
      <c r="G22" s="884"/>
      <c r="H22" s="886"/>
      <c r="I22" s="426">
        <f t="shared" si="0"/>
        <v>1</v>
      </c>
      <c r="L22" s="416"/>
      <c r="M22" s="416"/>
      <c r="N22" s="428"/>
    </row>
    <row r="23" spans="2:14" ht="23.4" x14ac:dyDescent="0.3">
      <c r="B23" s="883" t="s">
        <v>1711</v>
      </c>
      <c r="C23" s="884"/>
      <c r="D23" s="885"/>
      <c r="E23" s="885"/>
      <c r="F23" s="424"/>
      <c r="G23" s="884"/>
      <c r="H23" s="886"/>
      <c r="I23" s="426">
        <f t="shared" si="0"/>
        <v>1</v>
      </c>
      <c r="L23" s="416"/>
      <c r="M23" s="416"/>
      <c r="N23" s="428"/>
    </row>
    <row r="24" spans="2:14" ht="23.4" x14ac:dyDescent="0.3">
      <c r="B24" s="888" t="s">
        <v>1712</v>
      </c>
      <c r="C24" s="889"/>
      <c r="D24" s="890"/>
      <c r="E24" s="890"/>
      <c r="F24" s="434"/>
      <c r="G24" s="889"/>
      <c r="H24" s="891"/>
      <c r="I24" s="426">
        <f t="shared" si="0"/>
        <v>1</v>
      </c>
      <c r="L24" s="416"/>
      <c r="M24" s="416"/>
      <c r="N24" s="428"/>
    </row>
    <row r="25" spans="2:14" x14ac:dyDescent="0.3">
      <c r="B25" s="74" t="s">
        <v>2103</v>
      </c>
      <c r="C25" s="97"/>
      <c r="L25" s="416"/>
      <c r="M25" s="416"/>
    </row>
    <row r="26" spans="2:14" ht="22.5" customHeight="1" x14ac:dyDescent="0.3">
      <c r="L26" s="416"/>
      <c r="M26" s="416"/>
    </row>
    <row r="27" spans="2:14" ht="22.5" customHeight="1" x14ac:dyDescent="0.3">
      <c r="L27" s="416"/>
      <c r="M27" s="416"/>
    </row>
    <row r="28" spans="2:14" ht="22.5" customHeight="1" x14ac:dyDescent="0.3">
      <c r="G28" s="892" t="str">
        <f t="shared" ref="G28:G47" si="1">CONCATENATE("    ",B5,"   ",C5)</f>
        <v xml:space="preserve">    a1   Aufgabe 1</v>
      </c>
      <c r="L28" s="416"/>
      <c r="M28" s="416"/>
    </row>
    <row r="29" spans="2:14" ht="22.5" customHeight="1" x14ac:dyDescent="0.3">
      <c r="G29" s="892" t="str">
        <f t="shared" si="1"/>
        <v xml:space="preserve">    a2   Aufgabe 2</v>
      </c>
      <c r="L29" s="416"/>
      <c r="M29" s="416"/>
    </row>
    <row r="30" spans="2:14" ht="22.5" customHeight="1" x14ac:dyDescent="0.3">
      <c r="G30" s="892" t="str">
        <f t="shared" si="1"/>
        <v xml:space="preserve">    a3   Aufgabe 3</v>
      </c>
      <c r="L30" s="416"/>
      <c r="M30" s="416"/>
    </row>
    <row r="31" spans="2:14" ht="22.5" customHeight="1" x14ac:dyDescent="0.3">
      <c r="G31" s="892" t="str">
        <f t="shared" si="1"/>
        <v xml:space="preserve">    a4   </v>
      </c>
      <c r="L31" s="416"/>
      <c r="M31" s="416"/>
    </row>
    <row r="32" spans="2:14" ht="22.5" customHeight="1" x14ac:dyDescent="0.3">
      <c r="G32" s="892" t="str">
        <f t="shared" si="1"/>
        <v xml:space="preserve">    a5   </v>
      </c>
      <c r="L32" s="416"/>
      <c r="M32" s="416"/>
    </row>
    <row r="33" spans="7:13" ht="22.5" customHeight="1" x14ac:dyDescent="0.3">
      <c r="G33" s="892" t="str">
        <f t="shared" si="1"/>
        <v xml:space="preserve">    a6   </v>
      </c>
      <c r="L33" s="416"/>
      <c r="M33" s="416"/>
    </row>
    <row r="34" spans="7:13" ht="22.5" customHeight="1" x14ac:dyDescent="0.3">
      <c r="G34" s="892" t="str">
        <f t="shared" si="1"/>
        <v xml:space="preserve">    a7   </v>
      </c>
      <c r="L34" s="416"/>
      <c r="M34" s="416"/>
    </row>
    <row r="35" spans="7:13" ht="22.5" customHeight="1" x14ac:dyDescent="0.3">
      <c r="G35" s="892" t="str">
        <f t="shared" si="1"/>
        <v xml:space="preserve">    a8   </v>
      </c>
      <c r="L35" s="416"/>
      <c r="M35" s="416"/>
    </row>
    <row r="36" spans="7:13" ht="22.5" customHeight="1" x14ac:dyDescent="0.3">
      <c r="G36" s="892" t="str">
        <f t="shared" si="1"/>
        <v xml:space="preserve">    a9   </v>
      </c>
      <c r="L36" s="416"/>
      <c r="M36" s="416"/>
    </row>
    <row r="37" spans="7:13" ht="22.5" customHeight="1" x14ac:dyDescent="0.3">
      <c r="G37" s="892" t="str">
        <f t="shared" si="1"/>
        <v xml:space="preserve">    a10   </v>
      </c>
      <c r="L37" s="416"/>
      <c r="M37" s="416"/>
    </row>
    <row r="38" spans="7:13" ht="22.5" customHeight="1" x14ac:dyDescent="0.3">
      <c r="G38" s="892" t="str">
        <f t="shared" si="1"/>
        <v xml:space="preserve">    a11   </v>
      </c>
      <c r="L38" s="416"/>
      <c r="M38" s="416"/>
    </row>
    <row r="39" spans="7:13" ht="22.5" customHeight="1" x14ac:dyDescent="0.3">
      <c r="G39" s="892" t="str">
        <f t="shared" si="1"/>
        <v xml:space="preserve">    a12   </v>
      </c>
      <c r="L39" s="416"/>
      <c r="M39" s="416"/>
    </row>
    <row r="40" spans="7:13" ht="22.5" customHeight="1" x14ac:dyDescent="0.3">
      <c r="G40" s="892" t="str">
        <f t="shared" si="1"/>
        <v xml:space="preserve">    a13   </v>
      </c>
      <c r="L40" s="416"/>
      <c r="M40" s="416"/>
    </row>
    <row r="41" spans="7:13" ht="22.5" customHeight="1" x14ac:dyDescent="0.3">
      <c r="G41" s="892" t="str">
        <f t="shared" si="1"/>
        <v xml:space="preserve">    a14   </v>
      </c>
      <c r="L41" s="416"/>
      <c r="M41" s="416"/>
    </row>
    <row r="42" spans="7:13" ht="22.5" customHeight="1" x14ac:dyDescent="0.3">
      <c r="G42" s="892" t="str">
        <f t="shared" si="1"/>
        <v xml:space="preserve">    a15   </v>
      </c>
      <c r="L42" s="416"/>
      <c r="M42" s="416"/>
    </row>
    <row r="43" spans="7:13" ht="22.5" customHeight="1" x14ac:dyDescent="0.3">
      <c r="G43" s="892" t="str">
        <f t="shared" si="1"/>
        <v xml:space="preserve">    a16   </v>
      </c>
      <c r="L43" s="416"/>
      <c r="M43" s="416"/>
    </row>
    <row r="44" spans="7:13" ht="22.5" customHeight="1" x14ac:dyDescent="0.3">
      <c r="G44" s="892" t="str">
        <f t="shared" si="1"/>
        <v xml:space="preserve">    a17   </v>
      </c>
      <c r="L44" s="416"/>
      <c r="M44" s="416"/>
    </row>
    <row r="45" spans="7:13" ht="22.5" customHeight="1" x14ac:dyDescent="0.3">
      <c r="G45" s="892" t="str">
        <f t="shared" si="1"/>
        <v xml:space="preserve">    a18   </v>
      </c>
      <c r="L45" s="416"/>
      <c r="M45" s="416"/>
    </row>
    <row r="46" spans="7:13" ht="22.5" customHeight="1" x14ac:dyDescent="0.3">
      <c r="G46" s="892" t="str">
        <f t="shared" si="1"/>
        <v xml:space="preserve">    a19   </v>
      </c>
      <c r="L46" s="416"/>
      <c r="M46" s="416"/>
    </row>
    <row r="47" spans="7:13" ht="22.5" customHeight="1" x14ac:dyDescent="0.3">
      <c r="G47" s="892" t="str">
        <f t="shared" si="1"/>
        <v xml:space="preserve">    a20   </v>
      </c>
      <c r="L47" s="416"/>
      <c r="M47" s="416"/>
    </row>
    <row r="48" spans="7:13" ht="22.5" customHeight="1" x14ac:dyDescent="0.3">
      <c r="L48" s="416"/>
      <c r="M48" s="416"/>
    </row>
    <row r="49" spans="1:13" ht="22.5" customHeight="1" x14ac:dyDescent="0.3">
      <c r="L49" s="416"/>
      <c r="M49" s="416"/>
    </row>
    <row r="50" spans="1:13" ht="0.9" customHeight="1" x14ac:dyDescent="0.3">
      <c r="A50" s="438"/>
      <c r="L50" s="416"/>
      <c r="M50" s="416"/>
    </row>
    <row r="51" spans="1:13" ht="22.5" customHeight="1" x14ac:dyDescent="0.3">
      <c r="B51" s="97"/>
      <c r="C51" s="97"/>
      <c r="L51" s="416"/>
      <c r="M51" s="416"/>
    </row>
    <row r="52" spans="1:13" ht="22.5" customHeight="1" x14ac:dyDescent="0.3">
      <c r="L52" s="416"/>
      <c r="M52" s="416"/>
    </row>
    <row r="53" spans="1:13" ht="22.5" customHeight="1" x14ac:dyDescent="0.3">
      <c r="L53" s="416"/>
      <c r="M53" s="416"/>
    </row>
    <row r="54" spans="1:13" ht="22.5" customHeight="1" x14ac:dyDescent="0.3">
      <c r="L54" s="416"/>
      <c r="M54" s="416"/>
    </row>
    <row r="55" spans="1:13" ht="22.5" customHeight="1" x14ac:dyDescent="0.3">
      <c r="L55" s="416"/>
      <c r="M55" s="416"/>
    </row>
    <row r="56" spans="1:13" ht="22.5" customHeight="1" x14ac:dyDescent="0.3">
      <c r="L56" s="416"/>
      <c r="M56" s="416"/>
    </row>
    <row r="57" spans="1:13" ht="22.5" customHeight="1" x14ac:dyDescent="0.3">
      <c r="L57" s="416"/>
      <c r="M57" s="416"/>
    </row>
    <row r="58" spans="1:13" ht="22.5" customHeight="1" x14ac:dyDescent="0.3">
      <c r="L58" s="416"/>
      <c r="M58" s="416"/>
    </row>
    <row r="59" spans="1:13" ht="22.5" customHeight="1" x14ac:dyDescent="0.3">
      <c r="L59" s="416"/>
      <c r="M59" s="416"/>
    </row>
    <row r="60" spans="1:13" ht="22.5" customHeight="1" x14ac:dyDescent="0.3">
      <c r="L60" s="416"/>
      <c r="M60" s="416"/>
    </row>
    <row r="61" spans="1:13" ht="22.5" customHeight="1" x14ac:dyDescent="0.3">
      <c r="L61" s="416"/>
      <c r="M61" s="416"/>
    </row>
    <row r="62" spans="1:13" ht="22.5" customHeight="1" x14ac:dyDescent="0.3">
      <c r="L62" s="416"/>
      <c r="M62" s="416"/>
    </row>
    <row r="63" spans="1:13" ht="22.5" customHeight="1" x14ac:dyDescent="0.3">
      <c r="L63" s="416"/>
      <c r="M63" s="416"/>
    </row>
    <row r="64" spans="1:13" ht="22.5" customHeight="1" x14ac:dyDescent="0.3">
      <c r="L64" s="416"/>
      <c r="M64" s="416"/>
    </row>
    <row r="65" spans="6:13" ht="22.5" customHeight="1" x14ac:dyDescent="0.3">
      <c r="L65" s="416"/>
      <c r="M65" s="416"/>
    </row>
    <row r="66" spans="6:13" ht="22.5" customHeight="1" x14ac:dyDescent="0.3">
      <c r="L66" s="416"/>
      <c r="M66" s="416"/>
    </row>
    <row r="67" spans="6:13" ht="22.5" customHeight="1" x14ac:dyDescent="0.3">
      <c r="L67" s="416"/>
      <c r="M67" s="416"/>
    </row>
    <row r="68" spans="6:13" ht="22.5" customHeight="1" x14ac:dyDescent="0.3">
      <c r="L68" s="416"/>
      <c r="M68" s="416"/>
    </row>
    <row r="69" spans="6:13" ht="22.5" customHeight="1" x14ac:dyDescent="0.3">
      <c r="L69" s="416"/>
      <c r="M69" s="416"/>
    </row>
    <row r="71" spans="6:13" x14ac:dyDescent="0.3">
      <c r="L71" s="416"/>
      <c r="M71" s="416"/>
    </row>
    <row r="72" spans="6:13" x14ac:dyDescent="0.3">
      <c r="L72" s="416"/>
      <c r="M72" s="416"/>
    </row>
    <row r="73" spans="6:13" x14ac:dyDescent="0.3">
      <c r="L73" s="416"/>
      <c r="M73" s="416"/>
    </row>
    <row r="74" spans="6:13" x14ac:dyDescent="0.3">
      <c r="L74" s="416"/>
      <c r="M74" s="416"/>
    </row>
    <row r="75" spans="6:13" x14ac:dyDescent="0.3">
      <c r="L75" s="416"/>
    </row>
    <row r="79" spans="6:13" ht="15.6" x14ac:dyDescent="0.3">
      <c r="F79" s="439"/>
    </row>
    <row r="85" spans="4:4" x14ac:dyDescent="0.3">
      <c r="D85" s="427"/>
    </row>
    <row r="86" spans="4:4" x14ac:dyDescent="0.3">
      <c r="D86" s="416"/>
    </row>
    <row r="87" spans="4:4" x14ac:dyDescent="0.3">
      <c r="D87" s="416"/>
    </row>
    <row r="88" spans="4:4" x14ac:dyDescent="0.3">
      <c r="D88" s="416"/>
    </row>
    <row r="89" spans="4:4" x14ac:dyDescent="0.3">
      <c r="D89" s="416"/>
    </row>
    <row r="90" spans="4:4" x14ac:dyDescent="0.3">
      <c r="D90" s="416"/>
    </row>
    <row r="91" spans="4:4" x14ac:dyDescent="0.3">
      <c r="D91" s="416"/>
    </row>
    <row r="92" spans="4:4" x14ac:dyDescent="0.3">
      <c r="D92" s="416"/>
    </row>
    <row r="93" spans="4:4" x14ac:dyDescent="0.3">
      <c r="D93" s="416"/>
    </row>
    <row r="94" spans="4:4" x14ac:dyDescent="0.3">
      <c r="D94" s="416"/>
    </row>
    <row r="95" spans="4:4" x14ac:dyDescent="0.3">
      <c r="D95" s="416"/>
    </row>
    <row r="96" spans="4:4" x14ac:dyDescent="0.3">
      <c r="D96" s="416"/>
    </row>
    <row r="97" spans="4:4" x14ac:dyDescent="0.3">
      <c r="D97" s="416"/>
    </row>
    <row r="98" spans="4:4" x14ac:dyDescent="0.3">
      <c r="D98" s="416"/>
    </row>
    <row r="99" spans="4:4" x14ac:dyDescent="0.3">
      <c r="D99" s="416"/>
    </row>
    <row r="100" spans="4:4" x14ac:dyDescent="0.3">
      <c r="D100" s="416"/>
    </row>
    <row r="101" spans="4:4" x14ac:dyDescent="0.3">
      <c r="D101" s="416"/>
    </row>
    <row r="102" spans="4:4" x14ac:dyDescent="0.3">
      <c r="D102" s="416"/>
    </row>
    <row r="103" spans="4:4" x14ac:dyDescent="0.3">
      <c r="D103" s="416"/>
    </row>
    <row r="104" spans="4:4" x14ac:dyDescent="0.3">
      <c r="D104" s="416"/>
    </row>
  </sheetData>
  <sheetProtection sheet="1" objects="1" scenarios="1" formatCells="0" formatColumns="0" formatRows="0" insertHyperlinks="0" selectLockedCells="1" sort="0" autoFilter="0"/>
  <conditionalFormatting sqref="B5:H24">
    <cfRule type="expression" dxfId="108" priority="5">
      <formula>MOD(ROW(A1),2)=0</formula>
    </cfRule>
    <cfRule type="expression" dxfId="107" priority="6">
      <formula>MOD(ROW(A2),2)=0</formula>
    </cfRule>
  </conditionalFormatting>
  <conditionalFormatting sqref="D5:D24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:E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F5:F24">
    <cfRule type="iconSet" priority="2">
      <iconSet iconSet="3Signs" showValue="0" reverse="1">
        <cfvo type="percent" val="0"/>
        <cfvo type="num" val="2"/>
        <cfvo type="num" val="3"/>
      </iconSet>
    </cfRule>
  </conditionalFormatting>
  <dataValidations count="2">
    <dataValidation type="list" allowBlank="1" showInputMessage="1" showErrorMessage="1" sqref="H5:H24 F5:F24 H54:H69 F26:F69" xr:uid="{00000000-0002-0000-0700-000000000000}">
      <formula1>"1,2,3"</formula1>
    </dataValidation>
    <dataValidation type="list" allowBlank="1" showInputMessage="1" showErrorMessage="1" sqref="D5:E24 D55:E69" xr:uid="{00000000-0002-0000-0700-000001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rowBreaks count="1" manualBreakCount="1">
    <brk id="25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4B2DDD7F-A918-4579-A763-83A54C8002FD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D26:D69</xm:sqref>
        </x14:conditionalFormatting>
        <x14:conditionalFormatting xmlns:xm="http://schemas.microsoft.com/office/excel/2006/main">
          <x14:cfRule type="iconSet" priority="7" id="{BC838265-0501-40C1-BE31-E4AE0EF21A8A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D71:D5164 D25</xm:sqref>
        </x14:conditionalFormatting>
        <x14:conditionalFormatting xmlns:xm="http://schemas.microsoft.com/office/excel/2006/main">
          <x14:cfRule type="iconSet" priority="3" id="{94A72411-D367-416F-9141-26673FC4FDEB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H5:H24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22">
    <tabColor theme="0" tint="-0.34998626667073579"/>
  </sheetPr>
  <dimension ref="A1:O91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3.8" x14ac:dyDescent="0.3"/>
  <cols>
    <col min="1" max="1" width="7" style="66" customWidth="1"/>
    <col min="2" max="2" width="4" style="97" customWidth="1"/>
    <col min="3" max="3" width="51.109375" style="97" customWidth="1"/>
    <col min="4" max="4" width="4.44140625" style="97" customWidth="1"/>
    <col min="5" max="5" width="31" style="97" customWidth="1"/>
    <col min="6" max="6" width="4.33203125" style="97" customWidth="1"/>
    <col min="7" max="7" width="51.109375" style="97" customWidth="1"/>
    <col min="8" max="8" width="4.44140625" style="97" customWidth="1"/>
    <col min="9" max="9" width="2.6640625" style="97" customWidth="1"/>
    <col min="10" max="10" width="5.44140625" style="97" customWidth="1"/>
    <col min="11" max="11" width="1.33203125" style="97" customWidth="1"/>
    <col min="12" max="16" width="5.44140625" style="97" customWidth="1"/>
    <col min="17" max="17" width="31.88671875" style="97" customWidth="1"/>
    <col min="18" max="26" width="5.44140625" style="97" customWidth="1"/>
    <col min="27" max="27" width="4.109375" style="97" customWidth="1"/>
    <col min="28" max="39" width="5.44140625" style="97" customWidth="1"/>
    <col min="40" max="16384" width="11.44140625" style="97"/>
  </cols>
  <sheetData>
    <row r="1" spans="1:15" s="80" customFormat="1" ht="45" customHeight="1" x14ac:dyDescent="0.3">
      <c r="A1" s="132"/>
      <c r="B1" s="81" t="str">
        <f ca="1">' '!A116</f>
        <v>S W O T - A N A L Y S E</v>
      </c>
      <c r="C1" s="132"/>
      <c r="D1" s="848"/>
      <c r="E1" s="81"/>
      <c r="F1" s="132"/>
      <c r="G1" s="132"/>
      <c r="H1" s="82"/>
      <c r="I1" s="81"/>
      <c r="J1" s="81"/>
      <c r="K1" s="81"/>
      <c r="L1" s="81"/>
      <c r="M1" s="81"/>
      <c r="N1" s="81"/>
      <c r="O1" s="81"/>
    </row>
    <row r="2" spans="1:15" s="80" customFormat="1" ht="0.9" customHeight="1" x14ac:dyDescent="0.3">
      <c r="A2" s="134"/>
      <c r="B2" s="215"/>
      <c r="C2" s="215"/>
      <c r="D2" s="849"/>
      <c r="E2" s="83"/>
      <c r="F2" s="215"/>
      <c r="G2" s="215"/>
      <c r="H2" s="849"/>
      <c r="I2" s="83"/>
      <c r="J2" s="83"/>
      <c r="K2" s="83"/>
      <c r="L2" s="83"/>
      <c r="M2" s="83"/>
      <c r="N2" s="83"/>
      <c r="O2" s="83"/>
    </row>
    <row r="3" spans="1:15" ht="21" customHeight="1" x14ac:dyDescent="0.3">
      <c r="B3" s="87"/>
    </row>
    <row r="4" spans="1:15" ht="19.5" customHeight="1" x14ac:dyDescent="0.3">
      <c r="B4" s="850"/>
      <c r="D4" s="851"/>
      <c r="F4" s="852"/>
      <c r="H4" s="851"/>
    </row>
    <row r="5" spans="1:15" ht="19.5" customHeight="1" x14ac:dyDescent="0.35">
      <c r="B5" s="850"/>
      <c r="C5" s="853" t="str">
        <f ca="1">' '!A122</f>
        <v>Stärken</v>
      </c>
      <c r="D5" s="854"/>
      <c r="E5" s="372"/>
      <c r="F5" s="852"/>
      <c r="G5" s="855" t="str">
        <f ca="1">' '!A123</f>
        <v>Schwächen</v>
      </c>
      <c r="H5" s="851"/>
      <c r="J5" s="856"/>
    </row>
    <row r="6" spans="1:15" ht="28.8" x14ac:dyDescent="0.3">
      <c r="B6" s="857" t="s">
        <v>322</v>
      </c>
      <c r="C6" s="858" t="s">
        <v>1685</v>
      </c>
      <c r="D6" s="859">
        <v>5</v>
      </c>
      <c r="E6" s="860"/>
      <c r="F6" s="857" t="s">
        <v>353</v>
      </c>
      <c r="G6" s="861" t="s">
        <v>1685</v>
      </c>
      <c r="H6" s="862">
        <v>-5</v>
      </c>
      <c r="J6" s="863"/>
      <c r="K6" s="863"/>
      <c r="M6" s="863"/>
    </row>
    <row r="7" spans="1:15" ht="28.8" x14ac:dyDescent="0.3">
      <c r="B7" s="864" t="s">
        <v>323</v>
      </c>
      <c r="C7" s="865" t="s">
        <v>1685</v>
      </c>
      <c r="D7" s="866">
        <v>3</v>
      </c>
      <c r="E7" s="860"/>
      <c r="F7" s="864" t="s">
        <v>354</v>
      </c>
      <c r="G7" s="867" t="s">
        <v>1685</v>
      </c>
      <c r="H7" s="868">
        <v>-4</v>
      </c>
      <c r="J7" s="863"/>
      <c r="K7" s="863"/>
      <c r="M7" s="863"/>
    </row>
    <row r="8" spans="1:15" ht="28.8" x14ac:dyDescent="0.3">
      <c r="B8" s="864" t="s">
        <v>324</v>
      </c>
      <c r="C8" s="865" t="s">
        <v>1685</v>
      </c>
      <c r="D8" s="866">
        <v>4</v>
      </c>
      <c r="E8" s="860"/>
      <c r="F8" s="864" t="s">
        <v>355</v>
      </c>
      <c r="G8" s="867" t="s">
        <v>1685</v>
      </c>
      <c r="H8" s="868">
        <v>-2</v>
      </c>
      <c r="J8" s="863"/>
      <c r="K8" s="863"/>
      <c r="M8" s="863"/>
    </row>
    <row r="9" spans="1:15" ht="28.8" x14ac:dyDescent="0.3">
      <c r="B9" s="864" t="s">
        <v>325</v>
      </c>
      <c r="C9" s="865" t="s">
        <v>1685</v>
      </c>
      <c r="D9" s="866"/>
      <c r="E9" s="860"/>
      <c r="F9" s="864" t="s">
        <v>356</v>
      </c>
      <c r="G9" s="867" t="s">
        <v>1685</v>
      </c>
      <c r="H9" s="868"/>
      <c r="J9" s="863"/>
      <c r="K9" s="863"/>
      <c r="M9" s="863"/>
    </row>
    <row r="10" spans="1:15" ht="28.8" x14ac:dyDescent="0.3">
      <c r="B10" s="864" t="s">
        <v>326</v>
      </c>
      <c r="C10" s="865" t="s">
        <v>1685</v>
      </c>
      <c r="D10" s="866"/>
      <c r="E10" s="860"/>
      <c r="F10" s="864" t="s">
        <v>357</v>
      </c>
      <c r="G10" s="867" t="s">
        <v>1685</v>
      </c>
      <c r="H10" s="868"/>
      <c r="J10" s="863"/>
      <c r="K10" s="863"/>
      <c r="M10" s="863"/>
    </row>
    <row r="11" spans="1:15" ht="27.6" x14ac:dyDescent="0.3">
      <c r="B11" s="864" t="s">
        <v>327</v>
      </c>
      <c r="C11" s="865" t="s">
        <v>1685</v>
      </c>
      <c r="D11" s="866"/>
      <c r="E11" s="860"/>
      <c r="F11" s="864" t="s">
        <v>358</v>
      </c>
      <c r="G11" s="865" t="s">
        <v>1685</v>
      </c>
      <c r="H11" s="868"/>
      <c r="J11" s="863"/>
      <c r="K11" s="863"/>
      <c r="M11" s="863"/>
    </row>
    <row r="12" spans="1:15" ht="28.8" x14ac:dyDescent="0.3">
      <c r="B12" s="864" t="s">
        <v>328</v>
      </c>
      <c r="C12" s="865" t="s">
        <v>1685</v>
      </c>
      <c r="D12" s="866"/>
      <c r="E12" s="860"/>
      <c r="F12" s="864" t="s">
        <v>359</v>
      </c>
      <c r="G12" s="867" t="s">
        <v>1685</v>
      </c>
      <c r="H12" s="868"/>
      <c r="J12" s="863"/>
      <c r="K12" s="863"/>
      <c r="M12" s="863"/>
    </row>
    <row r="13" spans="1:15" ht="28.8" x14ac:dyDescent="0.3">
      <c r="B13" s="864" t="s">
        <v>329</v>
      </c>
      <c r="C13" s="865" t="s">
        <v>1685</v>
      </c>
      <c r="D13" s="866"/>
      <c r="E13" s="860"/>
      <c r="F13" s="864" t="s">
        <v>360</v>
      </c>
      <c r="G13" s="867" t="s">
        <v>1685</v>
      </c>
      <c r="H13" s="868"/>
      <c r="J13" s="863"/>
      <c r="K13" s="863"/>
      <c r="M13" s="863"/>
    </row>
    <row r="14" spans="1:15" ht="28.8" x14ac:dyDescent="0.3">
      <c r="B14" s="864" t="s">
        <v>330</v>
      </c>
      <c r="C14" s="865" t="s">
        <v>1685</v>
      </c>
      <c r="D14" s="866"/>
      <c r="E14" s="860"/>
      <c r="F14" s="864" t="s">
        <v>361</v>
      </c>
      <c r="G14" s="867" t="s">
        <v>1685</v>
      </c>
      <c r="H14" s="868"/>
      <c r="J14" s="863"/>
      <c r="K14" s="863"/>
      <c r="M14" s="863"/>
    </row>
    <row r="15" spans="1:15" ht="28.8" x14ac:dyDescent="0.3">
      <c r="B15" s="864" t="s">
        <v>331</v>
      </c>
      <c r="C15" s="865" t="s">
        <v>1685</v>
      </c>
      <c r="D15" s="866"/>
      <c r="E15" s="860"/>
      <c r="F15" s="864" t="s">
        <v>362</v>
      </c>
      <c r="G15" s="867" t="s">
        <v>1685</v>
      </c>
      <c r="H15" s="868"/>
      <c r="J15" s="863"/>
      <c r="K15" s="863"/>
      <c r="M15" s="863"/>
    </row>
    <row r="16" spans="1:15" ht="28.8" x14ac:dyDescent="0.3">
      <c r="B16" s="864" t="s">
        <v>332</v>
      </c>
      <c r="C16" s="865" t="s">
        <v>1685</v>
      </c>
      <c r="D16" s="866"/>
      <c r="E16" s="860"/>
      <c r="F16" s="864" t="s">
        <v>363</v>
      </c>
      <c r="G16" s="867" t="s">
        <v>1685</v>
      </c>
      <c r="H16" s="868"/>
      <c r="J16" s="863"/>
      <c r="K16" s="863"/>
      <c r="M16" s="863"/>
    </row>
    <row r="17" spans="2:13" ht="28.8" x14ac:dyDescent="0.3">
      <c r="B17" s="864" t="s">
        <v>333</v>
      </c>
      <c r="C17" s="865" t="s">
        <v>1685</v>
      </c>
      <c r="D17" s="866"/>
      <c r="E17" s="860"/>
      <c r="F17" s="864" t="s">
        <v>364</v>
      </c>
      <c r="G17" s="867" t="s">
        <v>1685</v>
      </c>
      <c r="H17" s="868"/>
      <c r="J17" s="863"/>
      <c r="K17" s="863"/>
      <c r="M17" s="863"/>
    </row>
    <row r="18" spans="2:13" ht="28.8" x14ac:dyDescent="0.3">
      <c r="B18" s="864" t="s">
        <v>334</v>
      </c>
      <c r="C18" s="865" t="s">
        <v>1685</v>
      </c>
      <c r="D18" s="866"/>
      <c r="E18" s="860"/>
      <c r="F18" s="864" t="s">
        <v>365</v>
      </c>
      <c r="G18" s="867" t="s">
        <v>1685</v>
      </c>
      <c r="H18" s="868"/>
      <c r="J18" s="863"/>
      <c r="K18" s="863"/>
      <c r="M18" s="863"/>
    </row>
    <row r="19" spans="2:13" ht="28.8" x14ac:dyDescent="0.3">
      <c r="B19" s="864" t="s">
        <v>335</v>
      </c>
      <c r="C19" s="865" t="s">
        <v>1685</v>
      </c>
      <c r="D19" s="866"/>
      <c r="E19" s="860"/>
      <c r="F19" s="864" t="s">
        <v>366</v>
      </c>
      <c r="G19" s="867" t="s">
        <v>1685</v>
      </c>
      <c r="H19" s="868"/>
      <c r="J19" s="863"/>
      <c r="K19" s="863"/>
      <c r="M19" s="863"/>
    </row>
    <row r="20" spans="2:13" ht="28.8" x14ac:dyDescent="0.3">
      <c r="B20" s="864" t="s">
        <v>336</v>
      </c>
      <c r="C20" s="865" t="s">
        <v>1685</v>
      </c>
      <c r="D20" s="866"/>
      <c r="E20" s="860"/>
      <c r="F20" s="864" t="s">
        <v>367</v>
      </c>
      <c r="G20" s="867" t="s">
        <v>1685</v>
      </c>
      <c r="H20" s="868"/>
      <c r="J20" s="863"/>
      <c r="K20" s="863"/>
      <c r="M20" s="863"/>
    </row>
    <row r="21" spans="2:13" ht="28.8" x14ac:dyDescent="0.3">
      <c r="B21" s="864" t="s">
        <v>337</v>
      </c>
      <c r="C21" s="865" t="s">
        <v>1685</v>
      </c>
      <c r="D21" s="866"/>
      <c r="E21" s="860"/>
      <c r="F21" s="864" t="s">
        <v>368</v>
      </c>
      <c r="G21" s="867" t="s">
        <v>1685</v>
      </c>
      <c r="H21" s="868"/>
      <c r="J21" s="863"/>
      <c r="K21" s="863"/>
      <c r="M21" s="863"/>
    </row>
    <row r="22" spans="2:13" ht="28.8" x14ac:dyDescent="0.3">
      <c r="B22" s="864" t="s">
        <v>338</v>
      </c>
      <c r="C22" s="865" t="s">
        <v>1685</v>
      </c>
      <c r="D22" s="866"/>
      <c r="E22" s="860"/>
      <c r="F22" s="864" t="s">
        <v>369</v>
      </c>
      <c r="G22" s="867" t="s">
        <v>1685</v>
      </c>
      <c r="H22" s="868"/>
      <c r="J22" s="863"/>
      <c r="K22" s="863"/>
      <c r="M22" s="863"/>
    </row>
    <row r="23" spans="2:13" ht="28.8" x14ac:dyDescent="0.3">
      <c r="B23" s="869" t="s">
        <v>339</v>
      </c>
      <c r="C23" s="870" t="s">
        <v>1685</v>
      </c>
      <c r="D23" s="871"/>
      <c r="E23" s="860"/>
      <c r="F23" s="869" t="s">
        <v>370</v>
      </c>
      <c r="G23" s="872" t="s">
        <v>1685</v>
      </c>
      <c r="H23" s="873"/>
      <c r="J23" s="863"/>
      <c r="K23" s="863"/>
      <c r="M23" s="863"/>
    </row>
    <row r="24" spans="2:13" ht="58.5" customHeight="1" x14ac:dyDescent="0.4">
      <c r="B24" s="874"/>
      <c r="C24" s="875" t="str">
        <f ca="1">' '!A124</f>
        <v>Chancen</v>
      </c>
      <c r="D24" s="876"/>
      <c r="F24" s="877"/>
      <c r="G24" s="878" t="str">
        <f ca="1">' '!A125</f>
        <v>Gefahren</v>
      </c>
      <c r="H24" s="876"/>
    </row>
    <row r="25" spans="2:13" ht="28.8" x14ac:dyDescent="0.35">
      <c r="B25" s="857" t="s">
        <v>371</v>
      </c>
      <c r="C25" s="858" t="s">
        <v>1685</v>
      </c>
      <c r="D25" s="862">
        <v>5</v>
      </c>
      <c r="E25" s="860"/>
      <c r="F25" s="857" t="s">
        <v>372</v>
      </c>
      <c r="G25" s="861" t="s">
        <v>1685</v>
      </c>
      <c r="H25" s="879">
        <v>-2</v>
      </c>
      <c r="J25" s="856"/>
    </row>
    <row r="26" spans="2:13" ht="28.8" x14ac:dyDescent="0.3">
      <c r="B26" s="864" t="s">
        <v>373</v>
      </c>
      <c r="C26" s="865" t="s">
        <v>1685</v>
      </c>
      <c r="D26" s="868">
        <v>3</v>
      </c>
      <c r="E26" s="860"/>
      <c r="F26" s="864" t="s">
        <v>374</v>
      </c>
      <c r="G26" s="867" t="s">
        <v>1685</v>
      </c>
      <c r="H26" s="880">
        <v>-4</v>
      </c>
    </row>
    <row r="27" spans="2:13" ht="28.8" x14ac:dyDescent="0.3">
      <c r="B27" s="864" t="s">
        <v>375</v>
      </c>
      <c r="C27" s="865" t="s">
        <v>1685</v>
      </c>
      <c r="D27" s="868">
        <v>2</v>
      </c>
      <c r="E27" s="860"/>
      <c r="F27" s="864" t="s">
        <v>376</v>
      </c>
      <c r="G27" s="867" t="s">
        <v>1685</v>
      </c>
      <c r="H27" s="880">
        <v>-2</v>
      </c>
    </row>
    <row r="28" spans="2:13" ht="27.6" x14ac:dyDescent="0.3">
      <c r="B28" s="864" t="s">
        <v>377</v>
      </c>
      <c r="C28" s="865" t="s">
        <v>1685</v>
      </c>
      <c r="D28" s="868"/>
      <c r="E28" s="860"/>
      <c r="F28" s="864" t="s">
        <v>378</v>
      </c>
      <c r="G28" s="865" t="s">
        <v>1685</v>
      </c>
      <c r="H28" s="880"/>
    </row>
    <row r="29" spans="2:13" ht="28.8" x14ac:dyDescent="0.3">
      <c r="B29" s="864" t="s">
        <v>379</v>
      </c>
      <c r="C29" s="865" t="s">
        <v>1685</v>
      </c>
      <c r="D29" s="868"/>
      <c r="E29" s="860"/>
      <c r="F29" s="864" t="s">
        <v>380</v>
      </c>
      <c r="G29" s="867" t="s">
        <v>1685</v>
      </c>
      <c r="H29" s="880"/>
    </row>
    <row r="30" spans="2:13" ht="28.8" x14ac:dyDescent="0.3">
      <c r="B30" s="864" t="s">
        <v>381</v>
      </c>
      <c r="C30" s="865" t="s">
        <v>1685</v>
      </c>
      <c r="D30" s="868"/>
      <c r="E30" s="860"/>
      <c r="F30" s="864" t="s">
        <v>382</v>
      </c>
      <c r="G30" s="867" t="s">
        <v>1685</v>
      </c>
      <c r="H30" s="880"/>
    </row>
    <row r="31" spans="2:13" ht="28.8" x14ac:dyDescent="0.3">
      <c r="B31" s="864" t="s">
        <v>383</v>
      </c>
      <c r="C31" s="865" t="s">
        <v>1685</v>
      </c>
      <c r="D31" s="868"/>
      <c r="E31" s="860"/>
      <c r="F31" s="864" t="s">
        <v>384</v>
      </c>
      <c r="G31" s="867" t="s">
        <v>1685</v>
      </c>
      <c r="H31" s="880"/>
    </row>
    <row r="32" spans="2:13" ht="28.8" x14ac:dyDescent="0.3">
      <c r="B32" s="864" t="s">
        <v>385</v>
      </c>
      <c r="C32" s="865" t="s">
        <v>1685</v>
      </c>
      <c r="D32" s="868"/>
      <c r="E32" s="860"/>
      <c r="F32" s="864" t="s">
        <v>386</v>
      </c>
      <c r="G32" s="867" t="s">
        <v>1685</v>
      </c>
      <c r="H32" s="880"/>
    </row>
    <row r="33" spans="2:8" ht="28.8" x14ac:dyDescent="0.3">
      <c r="B33" s="864" t="s">
        <v>387</v>
      </c>
      <c r="C33" s="865" t="s">
        <v>1685</v>
      </c>
      <c r="D33" s="868"/>
      <c r="E33" s="860"/>
      <c r="F33" s="864" t="s">
        <v>388</v>
      </c>
      <c r="G33" s="867" t="s">
        <v>1685</v>
      </c>
      <c r="H33" s="880"/>
    </row>
    <row r="34" spans="2:8" ht="28.8" x14ac:dyDescent="0.3">
      <c r="B34" s="864" t="s">
        <v>389</v>
      </c>
      <c r="C34" s="865" t="s">
        <v>1685</v>
      </c>
      <c r="D34" s="868"/>
      <c r="E34" s="860"/>
      <c r="F34" s="864" t="s">
        <v>390</v>
      </c>
      <c r="G34" s="867" t="s">
        <v>1685</v>
      </c>
      <c r="H34" s="880"/>
    </row>
    <row r="35" spans="2:8" ht="28.8" x14ac:dyDescent="0.3">
      <c r="B35" s="864" t="s">
        <v>391</v>
      </c>
      <c r="C35" s="865" t="s">
        <v>1685</v>
      </c>
      <c r="D35" s="868"/>
      <c r="E35" s="860"/>
      <c r="F35" s="864" t="s">
        <v>392</v>
      </c>
      <c r="G35" s="867" t="s">
        <v>1685</v>
      </c>
      <c r="H35" s="880"/>
    </row>
    <row r="36" spans="2:8" ht="28.8" x14ac:dyDescent="0.3">
      <c r="B36" s="864" t="s">
        <v>393</v>
      </c>
      <c r="C36" s="865" t="s">
        <v>1685</v>
      </c>
      <c r="D36" s="868"/>
      <c r="E36" s="860"/>
      <c r="F36" s="864" t="s">
        <v>394</v>
      </c>
      <c r="G36" s="867" t="s">
        <v>1685</v>
      </c>
      <c r="H36" s="880"/>
    </row>
    <row r="37" spans="2:8" ht="28.8" x14ac:dyDescent="0.3">
      <c r="B37" s="864" t="s">
        <v>395</v>
      </c>
      <c r="C37" s="865" t="s">
        <v>1685</v>
      </c>
      <c r="D37" s="868"/>
      <c r="E37" s="860"/>
      <c r="F37" s="864" t="s">
        <v>396</v>
      </c>
      <c r="G37" s="867" t="s">
        <v>1685</v>
      </c>
      <c r="H37" s="880"/>
    </row>
    <row r="38" spans="2:8" ht="28.8" x14ac:dyDescent="0.3">
      <c r="B38" s="864" t="s">
        <v>397</v>
      </c>
      <c r="C38" s="865" t="s">
        <v>1685</v>
      </c>
      <c r="D38" s="868"/>
      <c r="E38" s="860"/>
      <c r="F38" s="864" t="s">
        <v>398</v>
      </c>
      <c r="G38" s="867" t="s">
        <v>1685</v>
      </c>
      <c r="H38" s="880"/>
    </row>
    <row r="39" spans="2:8" ht="28.8" x14ac:dyDescent="0.3">
      <c r="B39" s="864" t="s">
        <v>399</v>
      </c>
      <c r="C39" s="865" t="s">
        <v>1685</v>
      </c>
      <c r="D39" s="868"/>
      <c r="E39" s="860"/>
      <c r="F39" s="864" t="s">
        <v>400</v>
      </c>
      <c r="G39" s="867" t="s">
        <v>1685</v>
      </c>
      <c r="H39" s="880"/>
    </row>
    <row r="40" spans="2:8" ht="28.8" x14ac:dyDescent="0.3">
      <c r="B40" s="864" t="s">
        <v>401</v>
      </c>
      <c r="C40" s="865" t="s">
        <v>1685</v>
      </c>
      <c r="D40" s="868"/>
      <c r="E40" s="860"/>
      <c r="F40" s="864" t="s">
        <v>402</v>
      </c>
      <c r="G40" s="867" t="s">
        <v>1685</v>
      </c>
      <c r="H40" s="880"/>
    </row>
    <row r="41" spans="2:8" ht="28.8" x14ac:dyDescent="0.3">
      <c r="B41" s="864" t="s">
        <v>403</v>
      </c>
      <c r="C41" s="865" t="s">
        <v>1685</v>
      </c>
      <c r="D41" s="868"/>
      <c r="E41" s="860"/>
      <c r="F41" s="864" t="s">
        <v>404</v>
      </c>
      <c r="G41" s="867" t="s">
        <v>1685</v>
      </c>
      <c r="H41" s="880"/>
    </row>
    <row r="42" spans="2:8" ht="28.8" x14ac:dyDescent="0.3">
      <c r="B42" s="869" t="s">
        <v>405</v>
      </c>
      <c r="C42" s="870" t="s">
        <v>1685</v>
      </c>
      <c r="D42" s="873"/>
      <c r="E42" s="860"/>
      <c r="F42" s="869" t="s">
        <v>406</v>
      </c>
      <c r="G42" s="872" t="s">
        <v>1685</v>
      </c>
      <c r="H42" s="881"/>
    </row>
    <row r="43" spans="2:8" x14ac:dyDescent="0.3">
      <c r="B43" s="74" t="s">
        <v>2103</v>
      </c>
      <c r="F43" s="677"/>
    </row>
    <row r="49" spans="1:1" x14ac:dyDescent="0.3">
      <c r="A49" s="86"/>
    </row>
    <row r="61" spans="1:1" ht="309" customHeight="1" x14ac:dyDescent="0.3"/>
    <row r="65" spans="1:1" ht="6.75" customHeight="1" x14ac:dyDescent="0.3"/>
    <row r="66" spans="1:1" ht="7.5" hidden="1" customHeight="1" x14ac:dyDescent="0.3"/>
    <row r="71" spans="1:1" x14ac:dyDescent="0.3">
      <c r="A71" s="86"/>
    </row>
    <row r="77" spans="1:1" ht="4.5" customHeight="1" x14ac:dyDescent="0.3"/>
    <row r="79" spans="1:1" ht="6.75" customHeight="1" x14ac:dyDescent="0.3"/>
    <row r="80" spans="1:1" ht="7.5" hidden="1" customHeight="1" x14ac:dyDescent="0.3"/>
    <row r="85" spans="1:1" x14ac:dyDescent="0.3">
      <c r="A85" s="86"/>
    </row>
    <row r="91" spans="1:1" ht="4.5" customHeight="1" x14ac:dyDescent="0.3"/>
  </sheetData>
  <sheetProtection sheet="1" objects="1" scenarios="1" formatCells="0" formatColumns="0" formatRows="0" insertHyperlinks="0" selectLockedCells="1" sort="0" autoFilter="0"/>
  <conditionalFormatting sqref="B6:D23">
    <cfRule type="expression" dxfId="106" priority="1">
      <formula>MOD(ROW(A2),2)=0</formula>
    </cfRule>
    <cfRule type="expression" dxfId="105" priority="2">
      <formula>MOD(ROW(A1),2)=0</formula>
    </cfRule>
  </conditionalFormatting>
  <conditionalFormatting sqref="B25:D42">
    <cfRule type="expression" dxfId="104" priority="5">
      <formula>MOD(ROW(XFD1048573),2)=0</formula>
    </cfRule>
    <cfRule type="expression" dxfId="103" priority="6">
      <formula>MOD(ROW(XFD1048572),2)=0</formula>
    </cfRule>
  </conditionalFormatting>
  <conditionalFormatting sqref="F6:H23">
    <cfRule type="expression" dxfId="102" priority="3">
      <formula>MOD(ROW(A2),2)=0</formula>
    </cfRule>
    <cfRule type="expression" dxfId="101" priority="4">
      <formula>MOD(ROW(A1),2)=0</formula>
    </cfRule>
  </conditionalFormatting>
  <conditionalFormatting sqref="F25:H42">
    <cfRule type="expression" dxfId="100" priority="7">
      <formula>MOD(ROW(XFD1048573),2)=0</formula>
    </cfRule>
    <cfRule type="expression" dxfId="99" priority="8">
      <formula>MOD(ROW(XFD1048572),2)=0</formula>
    </cfRule>
  </conditionalFormatting>
  <dataValidations count="3">
    <dataValidation type="list" allowBlank="1" showInputMessage="1" showErrorMessage="1" sqref="H6:H23 H25:H42" xr:uid="{00000000-0002-0000-0800-000000000000}">
      <formula1>"-1,-2,-3,-4,-5"</formula1>
    </dataValidation>
    <dataValidation type="list" showInputMessage="1" showErrorMessage="1" sqref="D6:D23 D25:D42" xr:uid="{00000000-0002-0000-0800-000001000000}">
      <formula1>"1,2,3,4,5"</formula1>
    </dataValidation>
    <dataValidation type="list" allowBlank="1" showInputMessage="1" showErrorMessage="1" sqref="D24" xr:uid="{00000000-0002-0000-0800-000002000000}">
      <formula1>"-5,-4,-3,-2,-1,0,1,2,3,4,5"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90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17">
    <tabColor theme="0" tint="-0.34998626667073579"/>
  </sheetPr>
  <dimension ref="A1:S183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4.4" x14ac:dyDescent="0.3"/>
  <cols>
    <col min="1" max="1" width="7" style="115" customWidth="1"/>
    <col min="2" max="2" width="3.88671875" style="115" customWidth="1"/>
    <col min="3" max="3" width="31.44140625" style="115" customWidth="1"/>
    <col min="4" max="4" width="39.33203125" style="115" customWidth="1"/>
    <col min="5" max="5" width="12.5546875" style="115" customWidth="1"/>
    <col min="6" max="6" width="7.33203125" style="115" bestFit="1" customWidth="1"/>
    <col min="7" max="7" width="40.6640625" style="115" bestFit="1" customWidth="1"/>
    <col min="8" max="8" width="6.44140625" style="115" bestFit="1" customWidth="1"/>
    <col min="9" max="9" width="4.5546875" style="115" hidden="1" customWidth="1"/>
    <col min="10" max="10" width="3" style="115" customWidth="1"/>
    <col min="11" max="18" width="3.44140625" style="115" customWidth="1"/>
    <col min="19" max="19" width="11.44140625" style="115" customWidth="1"/>
    <col min="20" max="16384" width="11.44140625" style="115"/>
  </cols>
  <sheetData>
    <row r="1" spans="1:19" s="109" customFormat="1" ht="45" customHeight="1" x14ac:dyDescent="0.3">
      <c r="A1" s="699"/>
      <c r="B1" s="103" t="str">
        <f ca="1">' '!A76</f>
        <v>E N T W I C K L U N G S T R E N D S</v>
      </c>
      <c r="C1" s="103"/>
      <c r="D1" s="103"/>
      <c r="E1" s="103"/>
      <c r="F1" s="103"/>
      <c r="G1" s="700"/>
      <c r="H1" s="122"/>
      <c r="I1" s="103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s="109" customFormat="1" ht="0.9" customHeight="1" x14ac:dyDescent="0.3">
      <c r="A2" s="701"/>
      <c r="B2" s="501"/>
      <c r="C2" s="506"/>
      <c r="D2" s="506"/>
      <c r="E2" s="506"/>
      <c r="F2" s="506"/>
      <c r="G2" s="702"/>
      <c r="H2" s="703"/>
      <c r="I2" s="506"/>
      <c r="J2" s="108"/>
      <c r="K2" s="108"/>
      <c r="L2" s="108"/>
      <c r="M2" s="108"/>
      <c r="N2" s="108"/>
      <c r="O2" s="108"/>
      <c r="P2" s="108"/>
      <c r="Q2" s="108"/>
      <c r="R2" s="108"/>
      <c r="S2" s="108"/>
    </row>
    <row r="3" spans="1:19" ht="14.25" customHeight="1" x14ac:dyDescent="0.3">
      <c r="A3" s="110"/>
      <c r="B3" s="704"/>
    </row>
    <row r="4" spans="1:19" x14ac:dyDescent="0.3">
      <c r="A4" s="139"/>
      <c r="B4" s="705"/>
    </row>
    <row r="5" spans="1:19" x14ac:dyDescent="0.3">
      <c r="B5" s="706"/>
      <c r="C5" s="707" t="str">
        <f ca="1">' '!A77</f>
        <v>Politische Trends</v>
      </c>
      <c r="D5" s="708">
        <f>IF(E27&lt;&gt;0,E27,0.1)</f>
        <v>3</v>
      </c>
    </row>
    <row r="6" spans="1:19" x14ac:dyDescent="0.3">
      <c r="B6" s="706"/>
      <c r="C6" s="707" t="str">
        <f ca="1">' '!A85</f>
        <v>Ökonomische Trends</v>
      </c>
      <c r="D6" s="708">
        <f>IF(E41&lt;&gt;0,E41,0.1)</f>
        <v>0.1</v>
      </c>
    </row>
    <row r="7" spans="1:19" x14ac:dyDescent="0.3">
      <c r="B7" s="706"/>
      <c r="C7" s="707" t="str">
        <f ca="1">' '!A86</f>
        <v>Soziologische Trends</v>
      </c>
      <c r="D7" s="708">
        <f>IF(E55&lt;&gt;0,E55,0.1)</f>
        <v>1</v>
      </c>
    </row>
    <row r="8" spans="1:19" x14ac:dyDescent="0.3">
      <c r="B8" s="706"/>
      <c r="C8" s="707" t="str">
        <f ca="1">' '!A87</f>
        <v>Technologische Trends</v>
      </c>
      <c r="D8" s="709">
        <f>IF(E69&lt;&gt;0,E69,0.1)</f>
        <v>3</v>
      </c>
    </row>
    <row r="9" spans="1:19" x14ac:dyDescent="0.3">
      <c r="B9" s="706"/>
      <c r="C9" s="707" t="str">
        <f ca="1">' '!A88</f>
        <v>Ökologische Trends</v>
      </c>
      <c r="D9" s="708">
        <f>IF(E83&lt;&gt;0,E83,0.1)</f>
        <v>0.1</v>
      </c>
    </row>
    <row r="10" spans="1:19" x14ac:dyDescent="0.3">
      <c r="B10" s="706"/>
      <c r="C10" s="707" t="str">
        <f ca="1">' '!A89</f>
        <v>Rechtliche Trends</v>
      </c>
      <c r="D10" s="708">
        <f>E97</f>
        <v>0</v>
      </c>
    </row>
    <row r="11" spans="1:19" x14ac:dyDescent="0.3">
      <c r="B11" s="706"/>
    </row>
    <row r="12" spans="1:19" x14ac:dyDescent="0.3">
      <c r="B12" s="706"/>
    </row>
    <row r="13" spans="1:19" x14ac:dyDescent="0.3">
      <c r="B13" s="706"/>
    </row>
    <row r="14" spans="1:19" ht="288.75" customHeight="1" x14ac:dyDescent="0.3"/>
    <row r="15" spans="1:19" ht="21" x14ac:dyDescent="0.4">
      <c r="B15" s="710"/>
      <c r="C15" s="711" t="str">
        <f ca="1">' '!A77</f>
        <v>Politische Trends</v>
      </c>
      <c r="D15" s="712"/>
      <c r="E15" s="712"/>
      <c r="F15" s="712"/>
      <c r="G15" s="712"/>
      <c r="H15" s="712"/>
    </row>
    <row r="16" spans="1:19" s="715" customFormat="1" ht="30" customHeight="1" x14ac:dyDescent="0.3">
      <c r="A16" s="115"/>
      <c r="B16" s="713" t="str">
        <f ca="1">' '!A78</f>
        <v>Nr.</v>
      </c>
      <c r="C16" s="713" t="str">
        <f ca="1">' '!A79</f>
        <v>Einflussfaktoren</v>
      </c>
      <c r="D16" s="713" t="str">
        <f ca="1">' '!A80</f>
        <v>Auswirkungen</v>
      </c>
      <c r="E16" s="713" t="str">
        <f ca="1">' '!A81</f>
        <v>Stärke der Auswirkungen</v>
      </c>
      <c r="F16" s="714" t="str">
        <f ca="1">' '!A82</f>
        <v>Trend</v>
      </c>
      <c r="G16" s="713" t="str">
        <f ca="1">' '!A83</f>
        <v>Bemerkungen</v>
      </c>
      <c r="H16" s="714" t="str">
        <f ca="1">' '!A84</f>
        <v>Status</v>
      </c>
      <c r="I16" s="115">
        <f ca="1">COUNTIF(H16:H26,1)</f>
        <v>1</v>
      </c>
    </row>
    <row r="17" spans="2:12" ht="23.4" x14ac:dyDescent="0.3">
      <c r="B17" s="716">
        <v>1</v>
      </c>
      <c r="C17" s="717"/>
      <c r="D17" s="717"/>
      <c r="E17" s="718">
        <v>4</v>
      </c>
      <c r="F17" s="719">
        <v>2</v>
      </c>
      <c r="G17" s="717"/>
      <c r="H17" s="720">
        <v>1</v>
      </c>
      <c r="I17" s="115">
        <f>COUNTIF(H17:H26,2)</f>
        <v>0</v>
      </c>
    </row>
    <row r="18" spans="2:12" ht="23.4" x14ac:dyDescent="0.3">
      <c r="B18" s="721">
        <f t="shared" ref="B18:B26" si="0">$B17+1</f>
        <v>2</v>
      </c>
      <c r="C18" s="722"/>
      <c r="D18" s="722"/>
      <c r="E18" s="723">
        <v>3</v>
      </c>
      <c r="F18" s="724"/>
      <c r="G18" s="722"/>
      <c r="H18" s="725"/>
      <c r="I18" s="115">
        <f>COUNTIF(H18:H27,3)</f>
        <v>0</v>
      </c>
    </row>
    <row r="19" spans="2:12" ht="23.4" x14ac:dyDescent="0.3">
      <c r="B19" s="726">
        <f t="shared" si="0"/>
        <v>3</v>
      </c>
      <c r="C19" s="717"/>
      <c r="D19" s="717"/>
      <c r="E19" s="718">
        <v>3</v>
      </c>
      <c r="F19" s="719"/>
      <c r="G19" s="717"/>
      <c r="H19" s="720"/>
    </row>
    <row r="20" spans="2:12" ht="23.4" x14ac:dyDescent="0.3">
      <c r="B20" s="721">
        <f t="shared" si="0"/>
        <v>4</v>
      </c>
      <c r="C20" s="722"/>
      <c r="D20" s="722"/>
      <c r="E20" s="723"/>
      <c r="F20" s="724"/>
      <c r="G20" s="722"/>
      <c r="H20" s="725"/>
    </row>
    <row r="21" spans="2:12" ht="23.4" x14ac:dyDescent="0.3">
      <c r="B21" s="726">
        <f t="shared" si="0"/>
        <v>5</v>
      </c>
      <c r="C21" s="717"/>
      <c r="D21" s="717"/>
      <c r="E21" s="718"/>
      <c r="F21" s="719"/>
      <c r="G21" s="717"/>
      <c r="H21" s="720"/>
    </row>
    <row r="22" spans="2:12" ht="23.4" x14ac:dyDescent="0.3">
      <c r="B22" s="721">
        <f t="shared" si="0"/>
        <v>6</v>
      </c>
      <c r="C22" s="722"/>
      <c r="D22" s="722"/>
      <c r="E22" s="723"/>
      <c r="F22" s="724"/>
      <c r="G22" s="722"/>
      <c r="H22" s="725"/>
    </row>
    <row r="23" spans="2:12" ht="23.4" x14ac:dyDescent="0.3">
      <c r="B23" s="726">
        <f t="shared" si="0"/>
        <v>7</v>
      </c>
      <c r="C23" s="717"/>
      <c r="D23" s="717"/>
      <c r="E23" s="718"/>
      <c r="F23" s="719"/>
      <c r="G23" s="717"/>
      <c r="H23" s="720"/>
    </row>
    <row r="24" spans="2:12" ht="23.4" x14ac:dyDescent="0.3">
      <c r="B24" s="721">
        <f t="shared" si="0"/>
        <v>8</v>
      </c>
      <c r="C24" s="722"/>
      <c r="D24" s="722"/>
      <c r="E24" s="723"/>
      <c r="F24" s="724"/>
      <c r="G24" s="722"/>
      <c r="H24" s="725"/>
    </row>
    <row r="25" spans="2:12" ht="23.4" x14ac:dyDescent="0.3">
      <c r="B25" s="726">
        <f t="shared" si="0"/>
        <v>9</v>
      </c>
      <c r="C25" s="717"/>
      <c r="D25" s="717"/>
      <c r="E25" s="718"/>
      <c r="F25" s="719"/>
      <c r="G25" s="717"/>
      <c r="H25" s="720"/>
    </row>
    <row r="26" spans="2:12" ht="23.4" x14ac:dyDescent="0.3">
      <c r="B26" s="721">
        <f t="shared" si="0"/>
        <v>10</v>
      </c>
      <c r="C26" s="722"/>
      <c r="D26" s="722"/>
      <c r="E26" s="723"/>
      <c r="F26" s="724"/>
      <c r="G26" s="722"/>
      <c r="H26" s="725"/>
    </row>
    <row r="27" spans="2:12" x14ac:dyDescent="0.3">
      <c r="B27" s="727"/>
      <c r="C27" s="728"/>
      <c r="D27" s="729" t="str">
        <f ca="1">' '!A438</f>
        <v>Anz. &gt;= 3</v>
      </c>
      <c r="E27" s="730">
        <f>COUNTIFS(E17:E26,"&lt;=4",E17:E26,"&gt;=3")</f>
        <v>3</v>
      </c>
      <c r="F27" s="728"/>
      <c r="G27" s="731"/>
      <c r="H27" s="728"/>
      <c r="I27" s="715"/>
    </row>
    <row r="28" spans="2:12" x14ac:dyDescent="0.3">
      <c r="B28" s="715"/>
      <c r="C28" s="715"/>
      <c r="D28" s="715"/>
      <c r="E28" s="715"/>
      <c r="F28" s="715"/>
      <c r="G28" s="715"/>
      <c r="H28" s="715"/>
    </row>
    <row r="29" spans="2:12" ht="21" x14ac:dyDescent="0.3">
      <c r="B29" s="732"/>
      <c r="C29" s="733" t="str">
        <f ca="1">' '!A85</f>
        <v>Ökonomische Trends</v>
      </c>
      <c r="D29" s="734"/>
      <c r="E29" s="734"/>
      <c r="F29" s="734"/>
      <c r="G29" s="734"/>
      <c r="H29" s="734"/>
    </row>
    <row r="30" spans="2:12" ht="41.4" x14ac:dyDescent="0.3">
      <c r="B30" s="735" t="str">
        <f ca="1">B16</f>
        <v>Nr.</v>
      </c>
      <c r="C30" s="736" t="str">
        <f ca="1">C16</f>
        <v>Einflussfaktoren</v>
      </c>
      <c r="D30" s="736" t="str">
        <f ca="1">D16</f>
        <v>Auswirkungen</v>
      </c>
      <c r="E30" s="737" t="str">
        <f t="shared" ref="E30:H30" ca="1" si="1">E16</f>
        <v>Stärke der Auswirkungen</v>
      </c>
      <c r="F30" s="737" t="str">
        <f t="shared" ca="1" si="1"/>
        <v>Trend</v>
      </c>
      <c r="G30" s="736" t="str">
        <f t="shared" ca="1" si="1"/>
        <v>Bemerkungen</v>
      </c>
      <c r="H30" s="738" t="str">
        <f t="shared" ca="1" si="1"/>
        <v>Status</v>
      </c>
      <c r="I30" s="115">
        <f ca="1">COUNTIF(H30:H40,1)</f>
        <v>0</v>
      </c>
    </row>
    <row r="31" spans="2:12" ht="23.4" x14ac:dyDescent="0.3">
      <c r="B31" s="739">
        <v>1</v>
      </c>
      <c r="C31" s="740"/>
      <c r="D31" s="740"/>
      <c r="E31" s="741">
        <v>2</v>
      </c>
      <c r="F31" s="742">
        <v>1</v>
      </c>
      <c r="G31" s="740"/>
      <c r="H31" s="743">
        <v>3</v>
      </c>
      <c r="I31" s="115">
        <f ca="1">COUNTIF(H30:H40,2)</f>
        <v>1</v>
      </c>
    </row>
    <row r="32" spans="2:12" ht="23.4" x14ac:dyDescent="0.3">
      <c r="B32" s="744">
        <f t="shared" ref="B32:B40" si="2">$B31+1</f>
        <v>2</v>
      </c>
      <c r="C32" s="745"/>
      <c r="D32" s="745"/>
      <c r="E32" s="746"/>
      <c r="F32" s="747"/>
      <c r="G32" s="745"/>
      <c r="H32" s="748">
        <v>2</v>
      </c>
      <c r="I32" s="115">
        <f ca="1">COUNTIF(H30:H41,3)</f>
        <v>1</v>
      </c>
      <c r="K32" s="749"/>
      <c r="L32" s="750"/>
    </row>
    <row r="33" spans="2:9" ht="23.4" x14ac:dyDescent="0.3">
      <c r="B33" s="739">
        <f t="shared" si="2"/>
        <v>3</v>
      </c>
      <c r="C33" s="740"/>
      <c r="D33" s="740"/>
      <c r="E33" s="741"/>
      <c r="F33" s="742"/>
      <c r="G33" s="740"/>
      <c r="H33" s="743"/>
    </row>
    <row r="34" spans="2:9" ht="23.4" x14ac:dyDescent="0.3">
      <c r="B34" s="744">
        <f t="shared" si="2"/>
        <v>4</v>
      </c>
      <c r="C34" s="745"/>
      <c r="D34" s="745"/>
      <c r="E34" s="746"/>
      <c r="F34" s="747"/>
      <c r="G34" s="745"/>
      <c r="H34" s="748"/>
    </row>
    <row r="35" spans="2:9" ht="23.4" x14ac:dyDescent="0.3">
      <c r="B35" s="739">
        <f t="shared" si="2"/>
        <v>5</v>
      </c>
      <c r="C35" s="740"/>
      <c r="D35" s="740"/>
      <c r="E35" s="741"/>
      <c r="F35" s="742"/>
      <c r="G35" s="740"/>
      <c r="H35" s="743"/>
    </row>
    <row r="36" spans="2:9" ht="23.4" x14ac:dyDescent="0.3">
      <c r="B36" s="744">
        <f t="shared" si="2"/>
        <v>6</v>
      </c>
      <c r="C36" s="745"/>
      <c r="D36" s="745"/>
      <c r="E36" s="746"/>
      <c r="F36" s="747"/>
      <c r="G36" s="745"/>
      <c r="H36" s="748"/>
    </row>
    <row r="37" spans="2:9" ht="23.4" x14ac:dyDescent="0.3">
      <c r="B37" s="739">
        <f t="shared" si="2"/>
        <v>7</v>
      </c>
      <c r="C37" s="740"/>
      <c r="D37" s="740"/>
      <c r="E37" s="741"/>
      <c r="F37" s="742"/>
      <c r="G37" s="740"/>
      <c r="H37" s="743"/>
    </row>
    <row r="38" spans="2:9" ht="23.4" x14ac:dyDescent="0.3">
      <c r="B38" s="744">
        <f t="shared" si="2"/>
        <v>8</v>
      </c>
      <c r="C38" s="745"/>
      <c r="D38" s="745"/>
      <c r="E38" s="746"/>
      <c r="F38" s="747"/>
      <c r="G38" s="745"/>
      <c r="H38" s="748"/>
    </row>
    <row r="39" spans="2:9" ht="23.4" x14ac:dyDescent="0.3">
      <c r="B39" s="739">
        <f t="shared" si="2"/>
        <v>9</v>
      </c>
      <c r="C39" s="740"/>
      <c r="D39" s="740"/>
      <c r="E39" s="741"/>
      <c r="F39" s="742"/>
      <c r="G39" s="740"/>
      <c r="H39" s="743"/>
    </row>
    <row r="40" spans="2:9" ht="23.4" x14ac:dyDescent="0.3">
      <c r="B40" s="751">
        <f t="shared" si="2"/>
        <v>10</v>
      </c>
      <c r="C40" s="752"/>
      <c r="D40" s="752"/>
      <c r="E40" s="753"/>
      <c r="F40" s="754"/>
      <c r="G40" s="752"/>
      <c r="H40" s="755"/>
    </row>
    <row r="41" spans="2:9" x14ac:dyDescent="0.3">
      <c r="B41" s="727"/>
      <c r="C41" s="728"/>
      <c r="D41" s="729" t="str">
        <f ca="1">$D$27</f>
        <v>Anz. &gt;= 3</v>
      </c>
      <c r="E41" s="730">
        <f>COUNTIFS(E31:E40,"&lt;=4",E31:E40,"&gt;=3")</f>
        <v>0</v>
      </c>
      <c r="F41" s="728"/>
      <c r="G41" s="728"/>
      <c r="H41" s="728"/>
      <c r="I41" s="715"/>
    </row>
    <row r="42" spans="2:9" x14ac:dyDescent="0.3">
      <c r="B42" s="715"/>
      <c r="C42" s="715"/>
      <c r="D42" s="715"/>
      <c r="E42" s="715"/>
      <c r="F42" s="715"/>
      <c r="G42" s="715"/>
      <c r="H42" s="715"/>
    </row>
    <row r="43" spans="2:9" ht="21" x14ac:dyDescent="0.3">
      <c r="B43" s="756"/>
      <c r="C43" s="757" t="str">
        <f ca="1">' '!A86</f>
        <v>Soziologische Trends</v>
      </c>
      <c r="D43" s="758"/>
      <c r="E43" s="758"/>
      <c r="F43" s="758"/>
      <c r="G43" s="758"/>
      <c r="H43" s="758"/>
    </row>
    <row r="44" spans="2:9" ht="41.4" x14ac:dyDescent="0.3">
      <c r="B44" s="759" t="str">
        <f ca="1">B16</f>
        <v>Nr.</v>
      </c>
      <c r="C44" s="760" t="str">
        <f ca="1">C16</f>
        <v>Einflussfaktoren</v>
      </c>
      <c r="D44" s="760" t="str">
        <f ca="1">D16</f>
        <v>Auswirkungen</v>
      </c>
      <c r="E44" s="761" t="str">
        <f t="shared" ref="E44:H44" ca="1" si="3">E16</f>
        <v>Stärke der Auswirkungen</v>
      </c>
      <c r="F44" s="761" t="str">
        <f t="shared" ca="1" si="3"/>
        <v>Trend</v>
      </c>
      <c r="G44" s="760" t="str">
        <f t="shared" ca="1" si="3"/>
        <v>Bemerkungen</v>
      </c>
      <c r="H44" s="762" t="str">
        <f t="shared" ca="1" si="3"/>
        <v>Status</v>
      </c>
      <c r="I44" s="115">
        <f ca="1">COUNTIF(H44:H54,1)</f>
        <v>1</v>
      </c>
    </row>
    <row r="45" spans="2:9" ht="23.4" x14ac:dyDescent="0.3">
      <c r="B45" s="763">
        <v>1</v>
      </c>
      <c r="C45" s="764"/>
      <c r="D45" s="764"/>
      <c r="E45" s="765">
        <v>3</v>
      </c>
      <c r="F45" s="766">
        <v>1</v>
      </c>
      <c r="G45" s="764"/>
      <c r="H45" s="767">
        <v>1</v>
      </c>
      <c r="I45" s="115">
        <f ca="1">COUNTIF(H44:H54,2)</f>
        <v>0</v>
      </c>
    </row>
    <row r="46" spans="2:9" ht="23.4" x14ac:dyDescent="0.3">
      <c r="B46" s="768">
        <f t="shared" ref="B46:B54" si="4">$B45+1</f>
        <v>2</v>
      </c>
      <c r="C46" s="769"/>
      <c r="D46" s="769"/>
      <c r="E46" s="770"/>
      <c r="F46" s="771"/>
      <c r="G46" s="769"/>
      <c r="H46" s="772"/>
      <c r="I46" s="115">
        <f ca="1">COUNTIF(H44:H55,3)</f>
        <v>0</v>
      </c>
    </row>
    <row r="47" spans="2:9" ht="23.4" x14ac:dyDescent="0.3">
      <c r="B47" s="763">
        <f t="shared" si="4"/>
        <v>3</v>
      </c>
      <c r="C47" s="764"/>
      <c r="D47" s="764"/>
      <c r="E47" s="765"/>
      <c r="F47" s="766"/>
      <c r="G47" s="764"/>
      <c r="H47" s="767"/>
    </row>
    <row r="48" spans="2:9" ht="23.4" x14ac:dyDescent="0.3">
      <c r="B48" s="768">
        <f t="shared" si="4"/>
        <v>4</v>
      </c>
      <c r="C48" s="769"/>
      <c r="D48" s="769"/>
      <c r="E48" s="770"/>
      <c r="F48" s="771"/>
      <c r="G48" s="769"/>
      <c r="H48" s="772"/>
    </row>
    <row r="49" spans="1:9" ht="23.4" x14ac:dyDescent="0.3">
      <c r="B49" s="763">
        <f t="shared" si="4"/>
        <v>5</v>
      </c>
      <c r="C49" s="764"/>
      <c r="D49" s="764"/>
      <c r="E49" s="765"/>
      <c r="F49" s="766"/>
      <c r="G49" s="764"/>
      <c r="H49" s="767"/>
    </row>
    <row r="50" spans="1:9" ht="23.4" x14ac:dyDescent="0.3">
      <c r="B50" s="768">
        <f t="shared" si="4"/>
        <v>6</v>
      </c>
      <c r="C50" s="769"/>
      <c r="D50" s="769"/>
      <c r="E50" s="770"/>
      <c r="F50" s="771"/>
      <c r="G50" s="769"/>
      <c r="H50" s="772"/>
    </row>
    <row r="51" spans="1:9" ht="23.4" x14ac:dyDescent="0.3">
      <c r="B51" s="763">
        <f t="shared" si="4"/>
        <v>7</v>
      </c>
      <c r="C51" s="764"/>
      <c r="D51" s="764"/>
      <c r="E51" s="765"/>
      <c r="F51" s="766"/>
      <c r="G51" s="764"/>
      <c r="H51" s="767"/>
    </row>
    <row r="52" spans="1:9" ht="23.4" x14ac:dyDescent="0.3">
      <c r="B52" s="768">
        <f t="shared" si="4"/>
        <v>8</v>
      </c>
      <c r="C52" s="769"/>
      <c r="D52" s="769"/>
      <c r="E52" s="770"/>
      <c r="F52" s="771"/>
      <c r="G52" s="769"/>
      <c r="H52" s="772"/>
    </row>
    <row r="53" spans="1:9" ht="23.4" x14ac:dyDescent="0.3">
      <c r="B53" s="763">
        <f t="shared" si="4"/>
        <v>9</v>
      </c>
      <c r="C53" s="764"/>
      <c r="D53" s="764"/>
      <c r="E53" s="765"/>
      <c r="F53" s="766"/>
      <c r="G53" s="764"/>
      <c r="H53" s="767"/>
    </row>
    <row r="54" spans="1:9" ht="23.4" x14ac:dyDescent="0.3">
      <c r="B54" s="773">
        <f t="shared" si="4"/>
        <v>10</v>
      </c>
      <c r="C54" s="774"/>
      <c r="D54" s="774"/>
      <c r="E54" s="775"/>
      <c r="F54" s="776"/>
      <c r="G54" s="774"/>
      <c r="H54" s="777"/>
    </row>
    <row r="55" spans="1:9" x14ac:dyDescent="0.3">
      <c r="B55" s="727"/>
      <c r="C55" s="728"/>
      <c r="D55" s="729" t="str">
        <f ca="1">$D$27</f>
        <v>Anz. &gt;= 3</v>
      </c>
      <c r="E55" s="730">
        <f>COUNTIFS(E45:E54,"&lt;=4",E45:E54,"&gt;=3")</f>
        <v>1</v>
      </c>
      <c r="F55" s="728"/>
      <c r="G55" s="728"/>
      <c r="H55" s="728"/>
      <c r="I55" s="715"/>
    </row>
    <row r="56" spans="1:9" x14ac:dyDescent="0.3">
      <c r="B56" s="715"/>
      <c r="C56" s="715"/>
      <c r="D56" s="715"/>
      <c r="E56" s="715"/>
      <c r="F56" s="715"/>
      <c r="G56" s="715"/>
      <c r="H56" s="715"/>
    </row>
    <row r="57" spans="1:9" ht="21" x14ac:dyDescent="0.3">
      <c r="B57" s="778"/>
      <c r="C57" s="779" t="str">
        <f ca="1">' '!A87</f>
        <v>Technologische Trends</v>
      </c>
      <c r="D57" s="780"/>
      <c r="E57" s="780"/>
      <c r="F57" s="780"/>
      <c r="G57" s="780"/>
      <c r="H57" s="780"/>
    </row>
    <row r="58" spans="1:9" s="785" customFormat="1" ht="41.4" x14ac:dyDescent="0.3">
      <c r="A58" s="115"/>
      <c r="B58" s="781" t="str">
        <f ca="1">B16</f>
        <v>Nr.</v>
      </c>
      <c r="C58" s="782" t="str">
        <f ca="1">C16</f>
        <v>Einflussfaktoren</v>
      </c>
      <c r="D58" s="782" t="str">
        <f ca="1">D16</f>
        <v>Auswirkungen</v>
      </c>
      <c r="E58" s="783" t="str">
        <f t="shared" ref="E58:H58" ca="1" si="5">E16</f>
        <v>Stärke der Auswirkungen</v>
      </c>
      <c r="F58" s="783" t="str">
        <f t="shared" ca="1" si="5"/>
        <v>Trend</v>
      </c>
      <c r="G58" s="782" t="str">
        <f t="shared" ca="1" si="5"/>
        <v>Bemerkungen</v>
      </c>
      <c r="H58" s="784" t="str">
        <f t="shared" ca="1" si="5"/>
        <v>Status</v>
      </c>
      <c r="I58" s="115">
        <f ca="1">COUNTIF(H58:H68,1)</f>
        <v>1</v>
      </c>
    </row>
    <row r="59" spans="1:9" ht="23.4" x14ac:dyDescent="0.3">
      <c r="B59" s="786">
        <v>1</v>
      </c>
      <c r="C59" s="787"/>
      <c r="D59" s="787"/>
      <c r="E59" s="788">
        <v>4</v>
      </c>
      <c r="F59" s="789">
        <v>1</v>
      </c>
      <c r="G59" s="787"/>
      <c r="H59" s="790">
        <v>1</v>
      </c>
      <c r="I59" s="115">
        <f ca="1">COUNTIF(H58:H68,2)</f>
        <v>0</v>
      </c>
    </row>
    <row r="60" spans="1:9" ht="23.4" x14ac:dyDescent="0.3">
      <c r="B60" s="791">
        <f t="shared" ref="B60:B68" si="6">$B59+1</f>
        <v>2</v>
      </c>
      <c r="C60" s="792"/>
      <c r="D60" s="792"/>
      <c r="E60" s="793">
        <v>3</v>
      </c>
      <c r="F60" s="794"/>
      <c r="G60" s="792"/>
      <c r="H60" s="795"/>
      <c r="I60" s="115">
        <f ca="1">COUNTIF(H58:H69,3)</f>
        <v>0</v>
      </c>
    </row>
    <row r="61" spans="1:9" ht="23.4" x14ac:dyDescent="0.3">
      <c r="B61" s="786">
        <f t="shared" si="6"/>
        <v>3</v>
      </c>
      <c r="C61" s="787"/>
      <c r="D61" s="787"/>
      <c r="E61" s="788">
        <v>3</v>
      </c>
      <c r="F61" s="789"/>
      <c r="G61" s="787"/>
      <c r="H61" s="790"/>
    </row>
    <row r="62" spans="1:9" ht="23.4" x14ac:dyDescent="0.3">
      <c r="B62" s="791">
        <f t="shared" si="6"/>
        <v>4</v>
      </c>
      <c r="C62" s="792"/>
      <c r="D62" s="792"/>
      <c r="E62" s="793"/>
      <c r="F62" s="794"/>
      <c r="G62" s="792"/>
      <c r="H62" s="795"/>
    </row>
    <row r="63" spans="1:9" ht="23.4" x14ac:dyDescent="0.3">
      <c r="B63" s="786">
        <f t="shared" si="6"/>
        <v>5</v>
      </c>
      <c r="C63" s="787"/>
      <c r="D63" s="787"/>
      <c r="E63" s="788"/>
      <c r="F63" s="789"/>
      <c r="G63" s="787"/>
      <c r="H63" s="790"/>
    </row>
    <row r="64" spans="1:9" ht="23.4" x14ac:dyDescent="0.3">
      <c r="B64" s="791">
        <f t="shared" si="6"/>
        <v>6</v>
      </c>
      <c r="C64" s="792"/>
      <c r="D64" s="792"/>
      <c r="E64" s="793"/>
      <c r="F64" s="794"/>
      <c r="G64" s="792"/>
      <c r="H64" s="795"/>
    </row>
    <row r="65" spans="1:9" ht="23.4" x14ac:dyDescent="0.3">
      <c r="B65" s="786">
        <f t="shared" si="6"/>
        <v>7</v>
      </c>
      <c r="C65" s="787"/>
      <c r="D65" s="787"/>
      <c r="E65" s="788"/>
      <c r="F65" s="789"/>
      <c r="G65" s="787"/>
      <c r="H65" s="790"/>
    </row>
    <row r="66" spans="1:9" ht="23.4" x14ac:dyDescent="0.3">
      <c r="B66" s="791">
        <f t="shared" si="6"/>
        <v>8</v>
      </c>
      <c r="C66" s="792"/>
      <c r="D66" s="792"/>
      <c r="E66" s="793"/>
      <c r="F66" s="794"/>
      <c r="G66" s="792"/>
      <c r="H66" s="795"/>
    </row>
    <row r="67" spans="1:9" ht="23.4" x14ac:dyDescent="0.3">
      <c r="B67" s="786">
        <f t="shared" si="6"/>
        <v>9</v>
      </c>
      <c r="C67" s="787"/>
      <c r="D67" s="787"/>
      <c r="E67" s="788"/>
      <c r="F67" s="789"/>
      <c r="G67" s="787"/>
      <c r="H67" s="790"/>
    </row>
    <row r="68" spans="1:9" ht="23.4" x14ac:dyDescent="0.3">
      <c r="B68" s="796">
        <f t="shared" si="6"/>
        <v>10</v>
      </c>
      <c r="C68" s="797"/>
      <c r="D68" s="797"/>
      <c r="E68" s="798"/>
      <c r="F68" s="799"/>
      <c r="G68" s="797"/>
      <c r="H68" s="800"/>
    </row>
    <row r="69" spans="1:9" x14ac:dyDescent="0.3">
      <c r="B69" s="727"/>
      <c r="C69" s="728"/>
      <c r="D69" s="729" t="str">
        <f ca="1">$D$27</f>
        <v>Anz. &gt;= 3</v>
      </c>
      <c r="E69" s="730">
        <f>COUNTIFS(E59:E68,"&lt;=4",E59:E68,"&gt;=3")</f>
        <v>3</v>
      </c>
      <c r="F69" s="728"/>
      <c r="G69" s="728"/>
      <c r="H69" s="728"/>
      <c r="I69" s="715"/>
    </row>
    <row r="70" spans="1:9" x14ac:dyDescent="0.3">
      <c r="B70" s="715"/>
      <c r="C70" s="715"/>
      <c r="D70" s="715"/>
      <c r="E70" s="715"/>
      <c r="F70" s="715"/>
      <c r="G70" s="715"/>
      <c r="H70" s="715"/>
    </row>
    <row r="71" spans="1:9" ht="21" x14ac:dyDescent="0.3">
      <c r="B71" s="801"/>
      <c r="C71" s="802" t="str">
        <f ca="1">' '!A88</f>
        <v>Ökologische Trends</v>
      </c>
      <c r="D71" s="803"/>
      <c r="E71" s="803"/>
      <c r="F71" s="803"/>
      <c r="G71" s="803"/>
      <c r="H71" s="803"/>
    </row>
    <row r="72" spans="1:9" s="785" customFormat="1" ht="41.4" x14ac:dyDescent="0.3">
      <c r="A72" s="115"/>
      <c r="B72" s="804" t="str">
        <f ca="1">B16</f>
        <v>Nr.</v>
      </c>
      <c r="C72" s="805" t="str">
        <f ca="1">C16</f>
        <v>Einflussfaktoren</v>
      </c>
      <c r="D72" s="805" t="str">
        <f ca="1">D16</f>
        <v>Auswirkungen</v>
      </c>
      <c r="E72" s="806" t="str">
        <f t="shared" ref="E72:H72" ca="1" si="7">E16</f>
        <v>Stärke der Auswirkungen</v>
      </c>
      <c r="F72" s="806" t="str">
        <f t="shared" ca="1" si="7"/>
        <v>Trend</v>
      </c>
      <c r="G72" s="805" t="str">
        <f t="shared" ca="1" si="7"/>
        <v>Bemerkungen</v>
      </c>
      <c r="H72" s="807" t="str">
        <f t="shared" ca="1" si="7"/>
        <v>Status</v>
      </c>
      <c r="I72" s="115">
        <f ca="1">COUNTIF(H72:H82,1)</f>
        <v>2</v>
      </c>
    </row>
    <row r="73" spans="1:9" ht="23.4" x14ac:dyDescent="0.3">
      <c r="B73" s="808">
        <v>1</v>
      </c>
      <c r="C73" s="809"/>
      <c r="D73" s="809"/>
      <c r="E73" s="810">
        <v>1</v>
      </c>
      <c r="F73" s="811">
        <v>1</v>
      </c>
      <c r="G73" s="809"/>
      <c r="H73" s="812">
        <v>1</v>
      </c>
      <c r="I73" s="115">
        <f ca="1">COUNTIF(H72:H82,2)</f>
        <v>0</v>
      </c>
    </row>
    <row r="74" spans="1:9" ht="23.4" x14ac:dyDescent="0.3">
      <c r="B74" s="813">
        <f t="shared" ref="B74:B82" si="8">$B73+1</f>
        <v>2</v>
      </c>
      <c r="C74" s="814"/>
      <c r="D74" s="814"/>
      <c r="E74" s="815"/>
      <c r="F74" s="816"/>
      <c r="G74" s="814"/>
      <c r="H74" s="817">
        <v>1</v>
      </c>
      <c r="I74" s="115">
        <f ca="1">COUNTIF(H72:H83,3)</f>
        <v>0</v>
      </c>
    </row>
    <row r="75" spans="1:9" ht="23.4" x14ac:dyDescent="0.3">
      <c r="B75" s="808">
        <f t="shared" si="8"/>
        <v>3</v>
      </c>
      <c r="C75" s="809"/>
      <c r="D75" s="809"/>
      <c r="E75" s="810"/>
      <c r="F75" s="811"/>
      <c r="G75" s="809"/>
      <c r="H75" s="812"/>
    </row>
    <row r="76" spans="1:9" ht="23.4" x14ac:dyDescent="0.3">
      <c r="B76" s="813">
        <f t="shared" si="8"/>
        <v>4</v>
      </c>
      <c r="C76" s="814"/>
      <c r="D76" s="814"/>
      <c r="E76" s="815"/>
      <c r="F76" s="816"/>
      <c r="G76" s="814"/>
      <c r="H76" s="817"/>
    </row>
    <row r="77" spans="1:9" ht="23.4" x14ac:dyDescent="0.3">
      <c r="B77" s="808">
        <f t="shared" si="8"/>
        <v>5</v>
      </c>
      <c r="C77" s="809"/>
      <c r="D77" s="809"/>
      <c r="E77" s="810"/>
      <c r="F77" s="811"/>
      <c r="G77" s="809"/>
      <c r="H77" s="812"/>
    </row>
    <row r="78" spans="1:9" ht="23.4" x14ac:dyDescent="0.3">
      <c r="B78" s="813">
        <f t="shared" si="8"/>
        <v>6</v>
      </c>
      <c r="C78" s="814"/>
      <c r="D78" s="814"/>
      <c r="E78" s="815"/>
      <c r="F78" s="816"/>
      <c r="G78" s="814"/>
      <c r="H78" s="817"/>
    </row>
    <row r="79" spans="1:9" ht="23.4" x14ac:dyDescent="0.3">
      <c r="B79" s="808">
        <f t="shared" si="8"/>
        <v>7</v>
      </c>
      <c r="C79" s="809"/>
      <c r="D79" s="809"/>
      <c r="E79" s="810"/>
      <c r="F79" s="811"/>
      <c r="G79" s="809"/>
      <c r="H79" s="812"/>
    </row>
    <row r="80" spans="1:9" ht="23.4" x14ac:dyDescent="0.3">
      <c r="B80" s="813">
        <f t="shared" si="8"/>
        <v>8</v>
      </c>
      <c r="C80" s="814"/>
      <c r="D80" s="814"/>
      <c r="E80" s="815"/>
      <c r="F80" s="816"/>
      <c r="G80" s="814"/>
      <c r="H80" s="817"/>
    </row>
    <row r="81" spans="1:9" ht="23.4" x14ac:dyDescent="0.3">
      <c r="B81" s="808">
        <f t="shared" si="8"/>
        <v>9</v>
      </c>
      <c r="C81" s="809"/>
      <c r="D81" s="809"/>
      <c r="E81" s="810"/>
      <c r="F81" s="811"/>
      <c r="G81" s="809"/>
      <c r="H81" s="812"/>
    </row>
    <row r="82" spans="1:9" ht="23.4" x14ac:dyDescent="0.3">
      <c r="B82" s="818">
        <f t="shared" si="8"/>
        <v>10</v>
      </c>
      <c r="C82" s="819"/>
      <c r="D82" s="819"/>
      <c r="E82" s="820"/>
      <c r="F82" s="821"/>
      <c r="G82" s="819"/>
      <c r="H82" s="822"/>
    </row>
    <row r="83" spans="1:9" x14ac:dyDescent="0.3">
      <c r="B83" s="727"/>
      <c r="C83" s="728"/>
      <c r="D83" s="729" t="str">
        <f ca="1">$D$27</f>
        <v>Anz. &gt;= 3</v>
      </c>
      <c r="E83" s="730">
        <f>COUNTIFS(E73:E82,"&lt;=4",E73:E82,"&gt;=3")</f>
        <v>0</v>
      </c>
      <c r="F83" s="728"/>
      <c r="G83" s="728"/>
      <c r="H83" s="728"/>
      <c r="I83" s="715"/>
    </row>
    <row r="84" spans="1:9" x14ac:dyDescent="0.3">
      <c r="B84" s="715"/>
      <c r="C84" s="715"/>
      <c r="D84" s="715"/>
      <c r="E84" s="715"/>
      <c r="F84" s="715"/>
      <c r="G84" s="715"/>
      <c r="H84" s="715"/>
    </row>
    <row r="85" spans="1:9" ht="21" x14ac:dyDescent="0.3">
      <c r="B85" s="823"/>
      <c r="C85" s="824" t="str">
        <f ca="1">' '!A89</f>
        <v>Rechtliche Trends</v>
      </c>
      <c r="D85" s="825"/>
      <c r="E85" s="825"/>
      <c r="F85" s="825"/>
      <c r="G85" s="825"/>
      <c r="H85" s="825"/>
    </row>
    <row r="86" spans="1:9" s="785" customFormat="1" ht="41.4" x14ac:dyDescent="0.3">
      <c r="A86" s="115"/>
      <c r="B86" s="826" t="str">
        <f ca="1">B16</f>
        <v>Nr.</v>
      </c>
      <c r="C86" s="826" t="str">
        <f ca="1">C16</f>
        <v>Einflussfaktoren</v>
      </c>
      <c r="D86" s="826" t="str">
        <f ca="1">D16</f>
        <v>Auswirkungen</v>
      </c>
      <c r="E86" s="827" t="str">
        <f t="shared" ref="E86:H86" ca="1" si="9">E16</f>
        <v>Stärke der Auswirkungen</v>
      </c>
      <c r="F86" s="827" t="str">
        <f t="shared" ca="1" si="9"/>
        <v>Trend</v>
      </c>
      <c r="G86" s="826" t="str">
        <f t="shared" ca="1" si="9"/>
        <v>Bemerkungen</v>
      </c>
      <c r="H86" s="827" t="str">
        <f t="shared" ca="1" si="9"/>
        <v>Status</v>
      </c>
      <c r="I86" s="115">
        <f ca="1">COUNTIF(H86:H96,1)</f>
        <v>0</v>
      </c>
    </row>
    <row r="87" spans="1:9" ht="23.4" x14ac:dyDescent="0.3">
      <c r="B87" s="828">
        <v>1</v>
      </c>
      <c r="C87" s="829"/>
      <c r="D87" s="829"/>
      <c r="E87" s="830">
        <v>0</v>
      </c>
      <c r="F87" s="831">
        <v>1</v>
      </c>
      <c r="G87" s="829"/>
      <c r="H87" s="832">
        <v>9</v>
      </c>
      <c r="I87" s="115">
        <f ca="1">COUNTIF(H86:H96,2)</f>
        <v>0</v>
      </c>
    </row>
    <row r="88" spans="1:9" ht="23.4" x14ac:dyDescent="0.3">
      <c r="B88" s="833">
        <f t="shared" ref="B88:B96" si="10">$B87+1</f>
        <v>2</v>
      </c>
      <c r="C88" s="834"/>
      <c r="D88" s="834"/>
      <c r="E88" s="835">
        <v>1</v>
      </c>
      <c r="F88" s="836"/>
      <c r="G88" s="834"/>
      <c r="H88" s="837"/>
      <c r="I88" s="115">
        <f ca="1">COUNTIF(H86:H98,3)</f>
        <v>0</v>
      </c>
    </row>
    <row r="89" spans="1:9" ht="23.4" x14ac:dyDescent="0.3">
      <c r="B89" s="838">
        <f t="shared" si="10"/>
        <v>3</v>
      </c>
      <c r="C89" s="839"/>
      <c r="D89" s="839"/>
      <c r="E89" s="840"/>
      <c r="F89" s="841"/>
      <c r="G89" s="839"/>
      <c r="H89" s="842"/>
    </row>
    <row r="90" spans="1:9" ht="23.4" x14ac:dyDescent="0.3">
      <c r="B90" s="833">
        <f t="shared" si="10"/>
        <v>4</v>
      </c>
      <c r="C90" s="834"/>
      <c r="D90" s="834"/>
      <c r="E90" s="835"/>
      <c r="F90" s="836"/>
      <c r="G90" s="834"/>
      <c r="H90" s="837"/>
    </row>
    <row r="91" spans="1:9" ht="23.4" x14ac:dyDescent="0.3">
      <c r="B91" s="838">
        <f t="shared" si="10"/>
        <v>5</v>
      </c>
      <c r="C91" s="839"/>
      <c r="D91" s="839"/>
      <c r="E91" s="840"/>
      <c r="F91" s="841"/>
      <c r="G91" s="839"/>
      <c r="H91" s="842"/>
    </row>
    <row r="92" spans="1:9" ht="23.4" x14ac:dyDescent="0.3">
      <c r="B92" s="833">
        <f t="shared" si="10"/>
        <v>6</v>
      </c>
      <c r="C92" s="834"/>
      <c r="D92" s="834"/>
      <c r="E92" s="835"/>
      <c r="F92" s="836"/>
      <c r="G92" s="834"/>
      <c r="H92" s="837"/>
    </row>
    <row r="93" spans="1:9" ht="23.4" x14ac:dyDescent="0.3">
      <c r="B93" s="838">
        <f t="shared" si="10"/>
        <v>7</v>
      </c>
      <c r="C93" s="839"/>
      <c r="D93" s="839"/>
      <c r="E93" s="840"/>
      <c r="F93" s="841"/>
      <c r="G93" s="839"/>
      <c r="H93" s="842"/>
    </row>
    <row r="94" spans="1:9" ht="23.4" x14ac:dyDescent="0.3">
      <c r="B94" s="833">
        <f t="shared" si="10"/>
        <v>8</v>
      </c>
      <c r="C94" s="834"/>
      <c r="D94" s="834"/>
      <c r="E94" s="835"/>
      <c r="F94" s="836"/>
      <c r="G94" s="834"/>
      <c r="H94" s="837"/>
    </row>
    <row r="95" spans="1:9" ht="23.4" x14ac:dyDescent="0.3">
      <c r="B95" s="838">
        <f t="shared" si="10"/>
        <v>9</v>
      </c>
      <c r="C95" s="839"/>
      <c r="D95" s="839"/>
      <c r="E95" s="840"/>
      <c r="F95" s="841"/>
      <c r="G95" s="839"/>
      <c r="H95" s="842"/>
    </row>
    <row r="96" spans="1:9" ht="23.4" x14ac:dyDescent="0.3">
      <c r="B96" s="843">
        <f t="shared" si="10"/>
        <v>10</v>
      </c>
      <c r="C96" s="844"/>
      <c r="D96" s="844"/>
      <c r="E96" s="845"/>
      <c r="F96" s="846"/>
      <c r="G96" s="844"/>
      <c r="H96" s="847"/>
    </row>
    <row r="97" spans="1:9" x14ac:dyDescent="0.3">
      <c r="B97" s="74" t="s">
        <v>2105</v>
      </c>
      <c r="C97" s="97"/>
      <c r="D97" s="729" t="str">
        <f ca="1">$D$27</f>
        <v>Anz. &gt;= 3</v>
      </c>
      <c r="E97" s="730">
        <f>COUNTIFS(E87:E96,"&lt;=4",E87:E96,"&gt;=3")</f>
        <v>0</v>
      </c>
      <c r="F97" s="728"/>
      <c r="G97" s="728"/>
      <c r="H97" s="728"/>
      <c r="I97" s="715"/>
    </row>
    <row r="98" spans="1:9" x14ac:dyDescent="0.3">
      <c r="C98" s="715"/>
      <c r="D98" s="715"/>
      <c r="E98" s="715"/>
      <c r="F98" s="715"/>
      <c r="G98" s="715"/>
      <c r="H98" s="715"/>
    </row>
    <row r="99" spans="1:9" x14ac:dyDescent="0.3">
      <c r="C99" s="715"/>
      <c r="D99" s="715"/>
      <c r="E99" s="715"/>
      <c r="F99" s="715"/>
      <c r="G99" s="715"/>
      <c r="H99" s="715"/>
    </row>
    <row r="100" spans="1:9" x14ac:dyDescent="0.3">
      <c r="A100" s="252"/>
      <c r="B100" s="707"/>
      <c r="C100" s="707"/>
      <c r="D100" s="707"/>
      <c r="E100" s="715"/>
      <c r="F100" s="715"/>
      <c r="G100" s="715"/>
      <c r="H100" s="715"/>
    </row>
    <row r="101" spans="1:9" x14ac:dyDescent="0.3">
      <c r="A101" s="252"/>
      <c r="B101" s="707"/>
      <c r="E101" s="715"/>
      <c r="F101" s="715"/>
      <c r="G101" s="715"/>
      <c r="H101" s="715"/>
    </row>
    <row r="102" spans="1:9" x14ac:dyDescent="0.3">
      <c r="A102" s="252"/>
      <c r="B102" s="707"/>
      <c r="E102" s="715"/>
      <c r="F102" s="715"/>
      <c r="G102" s="715"/>
      <c r="H102" s="715"/>
    </row>
    <row r="103" spans="1:9" x14ac:dyDescent="0.3">
      <c r="A103" s="252"/>
      <c r="B103" s="707"/>
      <c r="E103" s="715"/>
      <c r="F103" s="715"/>
      <c r="G103" s="715"/>
      <c r="H103" s="715"/>
    </row>
    <row r="104" spans="1:9" x14ac:dyDescent="0.3">
      <c r="A104" s="252"/>
      <c r="B104" s="707"/>
      <c r="E104" s="715"/>
      <c r="F104" s="715"/>
      <c r="G104" s="715"/>
      <c r="H104" s="715"/>
    </row>
    <row r="105" spans="1:9" x14ac:dyDescent="0.3">
      <c r="A105" s="252"/>
      <c r="B105" s="707"/>
      <c r="E105" s="715"/>
      <c r="F105" s="715"/>
      <c r="G105" s="715"/>
      <c r="H105" s="715"/>
    </row>
    <row r="106" spans="1:9" x14ac:dyDescent="0.3">
      <c r="A106" s="252"/>
      <c r="B106" s="707"/>
      <c r="E106" s="715"/>
      <c r="F106" s="715"/>
      <c r="G106" s="715"/>
      <c r="H106" s="715"/>
    </row>
    <row r="107" spans="1:9" x14ac:dyDescent="0.3">
      <c r="B107" s="715"/>
      <c r="C107" s="715"/>
      <c r="D107" s="715"/>
      <c r="E107" s="715"/>
      <c r="F107" s="715"/>
      <c r="G107" s="715"/>
      <c r="H107" s="715"/>
    </row>
    <row r="108" spans="1:9" x14ac:dyDescent="0.3">
      <c r="B108" s="715"/>
      <c r="C108" s="715"/>
      <c r="D108" s="715"/>
      <c r="E108" s="715"/>
      <c r="F108" s="715"/>
      <c r="G108" s="715"/>
      <c r="H108" s="715"/>
    </row>
    <row r="109" spans="1:9" x14ac:dyDescent="0.3">
      <c r="B109" s="715"/>
      <c r="C109" s="715"/>
      <c r="D109" s="715"/>
      <c r="E109" s="715"/>
      <c r="F109" s="715"/>
      <c r="G109" s="715"/>
      <c r="H109" s="715"/>
    </row>
    <row r="110" spans="1:9" x14ac:dyDescent="0.3">
      <c r="B110" s="715"/>
      <c r="C110" s="715"/>
      <c r="D110" s="715"/>
      <c r="E110" s="715"/>
      <c r="F110" s="715"/>
      <c r="G110" s="715"/>
      <c r="H110" s="715"/>
    </row>
    <row r="111" spans="1:9" x14ac:dyDescent="0.3">
      <c r="B111" s="715"/>
      <c r="C111" s="715"/>
      <c r="D111" s="715"/>
      <c r="E111" s="715"/>
      <c r="F111" s="715"/>
      <c r="G111" s="715"/>
      <c r="H111" s="715"/>
    </row>
    <row r="112" spans="1:9" x14ac:dyDescent="0.3">
      <c r="B112" s="715"/>
      <c r="C112" s="715"/>
      <c r="D112" s="715"/>
      <c r="E112" s="715"/>
      <c r="F112" s="715"/>
      <c r="G112" s="715"/>
      <c r="H112" s="715"/>
    </row>
    <row r="113" spans="1:8" x14ac:dyDescent="0.3">
      <c r="B113" s="715"/>
      <c r="C113" s="715"/>
      <c r="D113" s="715"/>
      <c r="E113" s="715"/>
      <c r="F113" s="715"/>
      <c r="G113" s="715"/>
      <c r="H113" s="715"/>
    </row>
    <row r="114" spans="1:8" x14ac:dyDescent="0.3">
      <c r="B114" s="715"/>
      <c r="C114" s="715"/>
      <c r="D114" s="715"/>
      <c r="E114" s="715"/>
      <c r="F114" s="715"/>
      <c r="G114" s="715"/>
      <c r="H114" s="715"/>
    </row>
    <row r="115" spans="1:8" x14ac:dyDescent="0.3">
      <c r="B115" s="715"/>
      <c r="C115" s="715"/>
      <c r="D115" s="715"/>
      <c r="E115" s="715"/>
      <c r="F115" s="715"/>
      <c r="G115" s="715"/>
      <c r="H115" s="715"/>
    </row>
    <row r="116" spans="1:8" x14ac:dyDescent="0.3">
      <c r="B116" s="715"/>
      <c r="C116" s="715"/>
      <c r="D116" s="715"/>
      <c r="E116" s="715"/>
      <c r="F116" s="715"/>
      <c r="G116" s="715"/>
      <c r="H116" s="715"/>
    </row>
    <row r="117" spans="1:8" x14ac:dyDescent="0.3">
      <c r="B117" s="715"/>
      <c r="C117" s="715"/>
      <c r="D117" s="715"/>
      <c r="E117" s="715"/>
      <c r="F117" s="715"/>
      <c r="G117" s="715"/>
      <c r="H117" s="715"/>
    </row>
    <row r="118" spans="1:8" x14ac:dyDescent="0.3">
      <c r="B118" s="715"/>
      <c r="C118" s="715"/>
      <c r="D118" s="715"/>
      <c r="E118" s="715"/>
      <c r="F118" s="715"/>
      <c r="G118" s="715"/>
      <c r="H118" s="715"/>
    </row>
    <row r="119" spans="1:8" x14ac:dyDescent="0.3">
      <c r="B119" s="715"/>
      <c r="C119" s="715"/>
      <c r="D119" s="715"/>
      <c r="E119" s="715"/>
      <c r="F119" s="715"/>
      <c r="G119" s="715"/>
      <c r="H119" s="715"/>
    </row>
    <row r="120" spans="1:8" x14ac:dyDescent="0.3">
      <c r="B120" s="715"/>
      <c r="C120" s="715"/>
      <c r="D120" s="715"/>
      <c r="E120" s="715"/>
      <c r="F120" s="715"/>
      <c r="G120" s="715"/>
      <c r="H120" s="715"/>
    </row>
    <row r="121" spans="1:8" x14ac:dyDescent="0.3">
      <c r="B121" s="715"/>
      <c r="C121" s="715"/>
      <c r="D121" s="715"/>
      <c r="E121" s="715"/>
      <c r="F121" s="715"/>
      <c r="G121" s="715"/>
      <c r="H121" s="715"/>
    </row>
    <row r="122" spans="1:8" x14ac:dyDescent="0.3">
      <c r="B122" s="715"/>
      <c r="C122" s="715"/>
      <c r="D122" s="715"/>
      <c r="E122" s="715"/>
      <c r="F122" s="715"/>
      <c r="G122" s="715"/>
      <c r="H122" s="715"/>
    </row>
    <row r="123" spans="1:8" x14ac:dyDescent="0.3">
      <c r="B123" s="715"/>
      <c r="C123" s="715"/>
      <c r="D123" s="715"/>
      <c r="E123" s="715"/>
      <c r="F123" s="715"/>
      <c r="G123" s="715"/>
      <c r="H123" s="715"/>
    </row>
    <row r="124" spans="1:8" ht="0.9" customHeight="1" x14ac:dyDescent="0.3">
      <c r="A124" s="277"/>
      <c r="B124" s="715"/>
      <c r="C124" s="715"/>
      <c r="D124" s="715"/>
      <c r="E124" s="715"/>
      <c r="F124" s="715"/>
      <c r="G124" s="715"/>
      <c r="H124" s="715"/>
    </row>
    <row r="125" spans="1:8" x14ac:dyDescent="0.3">
      <c r="B125" s="715"/>
      <c r="C125" s="715"/>
      <c r="D125" s="715"/>
      <c r="E125" s="715"/>
      <c r="F125" s="715"/>
      <c r="G125" s="715"/>
      <c r="H125" s="715"/>
    </row>
    <row r="126" spans="1:8" x14ac:dyDescent="0.3">
      <c r="B126" s="715"/>
      <c r="C126" s="715"/>
      <c r="D126" s="715"/>
      <c r="E126" s="715"/>
      <c r="F126" s="715"/>
      <c r="G126" s="715"/>
      <c r="H126" s="715"/>
    </row>
    <row r="127" spans="1:8" x14ac:dyDescent="0.3">
      <c r="B127" s="715"/>
      <c r="C127" s="715"/>
      <c r="D127" s="715"/>
      <c r="E127" s="715"/>
      <c r="F127" s="715"/>
      <c r="G127" s="715"/>
      <c r="H127" s="715"/>
    </row>
    <row r="128" spans="1:8" x14ac:dyDescent="0.3">
      <c r="B128" s="715"/>
      <c r="C128" s="715"/>
      <c r="D128" s="715"/>
      <c r="E128" s="715"/>
      <c r="F128" s="715"/>
      <c r="G128" s="715"/>
      <c r="H128" s="715"/>
    </row>
    <row r="129" spans="2:8" x14ac:dyDescent="0.3">
      <c r="B129" s="715"/>
      <c r="C129" s="715"/>
      <c r="D129" s="715"/>
      <c r="E129" s="715"/>
      <c r="F129" s="715"/>
      <c r="G129" s="715"/>
      <c r="H129" s="715"/>
    </row>
    <row r="130" spans="2:8" x14ac:dyDescent="0.3">
      <c r="B130" s="715"/>
      <c r="C130" s="715"/>
      <c r="D130" s="715"/>
      <c r="E130" s="715"/>
      <c r="F130" s="715"/>
      <c r="G130" s="715"/>
      <c r="H130" s="715"/>
    </row>
    <row r="131" spans="2:8" x14ac:dyDescent="0.3">
      <c r="B131" s="715"/>
      <c r="C131" s="715"/>
      <c r="D131" s="715"/>
      <c r="E131" s="715"/>
      <c r="F131" s="715"/>
      <c r="G131" s="715"/>
      <c r="H131" s="715"/>
    </row>
    <row r="132" spans="2:8" x14ac:dyDescent="0.3">
      <c r="B132" s="715"/>
      <c r="C132" s="715"/>
      <c r="D132" s="715"/>
      <c r="E132" s="715"/>
      <c r="F132" s="715"/>
      <c r="G132" s="715"/>
      <c r="H132" s="715"/>
    </row>
    <row r="133" spans="2:8" x14ac:dyDescent="0.3">
      <c r="B133" s="715"/>
      <c r="C133" s="715"/>
      <c r="D133" s="715"/>
      <c r="E133" s="715"/>
      <c r="F133" s="715"/>
      <c r="G133" s="715"/>
      <c r="H133" s="715"/>
    </row>
    <row r="134" spans="2:8" x14ac:dyDescent="0.3">
      <c r="B134" s="715"/>
      <c r="C134" s="715"/>
      <c r="D134" s="715"/>
      <c r="E134" s="715"/>
      <c r="F134" s="715"/>
      <c r="G134" s="715"/>
      <c r="H134" s="715"/>
    </row>
    <row r="135" spans="2:8" x14ac:dyDescent="0.3">
      <c r="B135" s="715"/>
      <c r="C135" s="715"/>
      <c r="D135" s="715"/>
      <c r="E135" s="715"/>
      <c r="F135" s="715"/>
      <c r="G135" s="715"/>
      <c r="H135" s="715"/>
    </row>
    <row r="136" spans="2:8" x14ac:dyDescent="0.3">
      <c r="B136" s="715"/>
      <c r="C136" s="715"/>
      <c r="D136" s="715"/>
      <c r="E136" s="715"/>
      <c r="F136" s="715"/>
      <c r="G136" s="715"/>
      <c r="H136" s="715"/>
    </row>
    <row r="137" spans="2:8" x14ac:dyDescent="0.3">
      <c r="B137" s="715"/>
      <c r="C137" s="715"/>
      <c r="D137" s="715"/>
      <c r="E137" s="715"/>
      <c r="F137" s="715"/>
      <c r="G137" s="715"/>
      <c r="H137" s="715"/>
    </row>
    <row r="138" spans="2:8" x14ac:dyDescent="0.3">
      <c r="B138" s="715"/>
      <c r="C138" s="715"/>
      <c r="D138" s="715"/>
      <c r="E138" s="715"/>
      <c r="F138" s="715"/>
      <c r="G138" s="715"/>
      <c r="H138" s="715"/>
    </row>
    <row r="139" spans="2:8" x14ac:dyDescent="0.3">
      <c r="B139" s="715"/>
      <c r="C139" s="715"/>
      <c r="D139" s="715"/>
      <c r="E139" s="715"/>
      <c r="F139" s="715"/>
      <c r="G139" s="715"/>
      <c r="H139" s="715"/>
    </row>
    <row r="140" spans="2:8" x14ac:dyDescent="0.3">
      <c r="B140" s="715"/>
      <c r="C140" s="715"/>
      <c r="D140" s="715"/>
      <c r="E140" s="715"/>
      <c r="F140" s="715"/>
      <c r="G140" s="715"/>
      <c r="H140" s="715"/>
    </row>
    <row r="141" spans="2:8" x14ac:dyDescent="0.3">
      <c r="B141" s="715"/>
      <c r="C141" s="715"/>
      <c r="D141" s="715"/>
      <c r="E141" s="715"/>
      <c r="F141" s="715"/>
      <c r="G141" s="715"/>
      <c r="H141" s="715"/>
    </row>
    <row r="142" spans="2:8" x14ac:dyDescent="0.3">
      <c r="B142" s="715"/>
      <c r="C142" s="715"/>
      <c r="D142" s="715"/>
      <c r="E142" s="715"/>
      <c r="F142" s="715"/>
      <c r="G142" s="715"/>
      <c r="H142" s="715"/>
    </row>
    <row r="143" spans="2:8" x14ac:dyDescent="0.3">
      <c r="B143" s="715"/>
      <c r="C143" s="715"/>
      <c r="D143" s="715"/>
      <c r="E143" s="715"/>
      <c r="F143" s="715"/>
      <c r="G143" s="715"/>
      <c r="H143" s="715"/>
    </row>
    <row r="144" spans="2:8" x14ac:dyDescent="0.3">
      <c r="B144" s="715"/>
      <c r="C144" s="715"/>
      <c r="D144" s="715"/>
      <c r="E144" s="715"/>
      <c r="F144" s="715"/>
      <c r="G144" s="715"/>
      <c r="H144" s="715"/>
    </row>
    <row r="145" spans="2:8" x14ac:dyDescent="0.3">
      <c r="B145" s="715"/>
      <c r="C145" s="715"/>
      <c r="D145" s="715"/>
      <c r="E145" s="715"/>
      <c r="F145" s="715"/>
      <c r="G145" s="715"/>
      <c r="H145" s="715"/>
    </row>
    <row r="146" spans="2:8" x14ac:dyDescent="0.3">
      <c r="B146" s="715"/>
      <c r="C146" s="715"/>
      <c r="D146" s="715"/>
      <c r="E146" s="715"/>
      <c r="F146" s="715"/>
      <c r="G146" s="715"/>
      <c r="H146" s="715"/>
    </row>
    <row r="147" spans="2:8" x14ac:dyDescent="0.3">
      <c r="B147" s="715"/>
      <c r="C147" s="715"/>
      <c r="D147" s="715"/>
      <c r="E147" s="715"/>
      <c r="F147" s="715"/>
      <c r="G147" s="715"/>
      <c r="H147" s="715"/>
    </row>
    <row r="148" spans="2:8" x14ac:dyDescent="0.3">
      <c r="B148" s="715"/>
      <c r="C148" s="715"/>
      <c r="D148" s="715"/>
      <c r="E148" s="715"/>
      <c r="F148" s="715"/>
      <c r="G148" s="715"/>
      <c r="H148" s="715"/>
    </row>
    <row r="149" spans="2:8" x14ac:dyDescent="0.3">
      <c r="B149" s="715"/>
      <c r="C149" s="715"/>
      <c r="D149" s="715"/>
      <c r="E149" s="715"/>
      <c r="F149" s="715"/>
      <c r="G149" s="715"/>
      <c r="H149" s="715"/>
    </row>
    <row r="150" spans="2:8" x14ac:dyDescent="0.3">
      <c r="B150" s="715"/>
      <c r="C150" s="715"/>
      <c r="D150" s="715"/>
      <c r="E150" s="715"/>
      <c r="F150" s="715"/>
      <c r="G150" s="715"/>
      <c r="H150" s="715"/>
    </row>
    <row r="151" spans="2:8" x14ac:dyDescent="0.3">
      <c r="B151" s="715"/>
      <c r="C151" s="715"/>
      <c r="D151" s="715"/>
      <c r="E151" s="715"/>
      <c r="F151" s="715"/>
      <c r="G151" s="715"/>
      <c r="H151" s="715"/>
    </row>
    <row r="152" spans="2:8" x14ac:dyDescent="0.3">
      <c r="B152" s="715"/>
      <c r="C152" s="715"/>
      <c r="D152" s="715"/>
      <c r="E152" s="715"/>
      <c r="F152" s="715"/>
      <c r="G152" s="715"/>
      <c r="H152" s="715"/>
    </row>
    <row r="153" spans="2:8" x14ac:dyDescent="0.3">
      <c r="B153" s="715"/>
      <c r="C153" s="715"/>
      <c r="D153" s="715"/>
      <c r="E153" s="715"/>
      <c r="F153" s="715"/>
      <c r="G153" s="715"/>
      <c r="H153" s="715"/>
    </row>
    <row r="154" spans="2:8" x14ac:dyDescent="0.3">
      <c r="B154" s="715"/>
      <c r="C154" s="715"/>
      <c r="D154" s="715"/>
      <c r="E154" s="715"/>
      <c r="F154" s="715"/>
      <c r="G154" s="715"/>
      <c r="H154" s="715"/>
    </row>
    <row r="155" spans="2:8" x14ac:dyDescent="0.3">
      <c r="B155" s="715"/>
      <c r="C155" s="715"/>
      <c r="D155" s="715"/>
      <c r="E155" s="715"/>
      <c r="F155" s="715"/>
      <c r="G155" s="715"/>
      <c r="H155" s="715"/>
    </row>
    <row r="156" spans="2:8" x14ac:dyDescent="0.3">
      <c r="B156" s="715"/>
      <c r="C156" s="715"/>
      <c r="D156" s="715"/>
      <c r="E156" s="715"/>
      <c r="F156" s="715"/>
      <c r="G156" s="715"/>
      <c r="H156" s="715"/>
    </row>
    <row r="157" spans="2:8" x14ac:dyDescent="0.3">
      <c r="B157" s="715"/>
      <c r="C157" s="715"/>
      <c r="D157" s="715"/>
      <c r="E157" s="715"/>
      <c r="F157" s="715"/>
      <c r="G157" s="715"/>
      <c r="H157" s="715"/>
    </row>
    <row r="158" spans="2:8" x14ac:dyDescent="0.3">
      <c r="B158" s="715"/>
      <c r="C158" s="715"/>
      <c r="D158" s="715"/>
      <c r="E158" s="715"/>
      <c r="F158" s="715"/>
      <c r="G158" s="715"/>
      <c r="H158" s="715"/>
    </row>
    <row r="159" spans="2:8" x14ac:dyDescent="0.3">
      <c r="B159" s="715"/>
      <c r="C159" s="715"/>
      <c r="D159" s="715"/>
      <c r="E159" s="715"/>
      <c r="F159" s="715"/>
      <c r="G159" s="715"/>
      <c r="H159" s="715"/>
    </row>
    <row r="160" spans="2:8" x14ac:dyDescent="0.3">
      <c r="B160" s="715"/>
      <c r="C160" s="715"/>
      <c r="D160" s="715"/>
      <c r="E160" s="715"/>
      <c r="F160" s="715"/>
      <c r="G160" s="715"/>
      <c r="H160" s="715"/>
    </row>
    <row r="161" spans="2:8" x14ac:dyDescent="0.3">
      <c r="B161" s="715"/>
      <c r="C161" s="715"/>
      <c r="D161" s="715"/>
      <c r="E161" s="715"/>
      <c r="F161" s="715"/>
      <c r="G161" s="715"/>
      <c r="H161" s="715"/>
    </row>
    <row r="162" spans="2:8" x14ac:dyDescent="0.3">
      <c r="B162" s="715"/>
      <c r="C162" s="715"/>
      <c r="D162" s="715"/>
      <c r="E162" s="715"/>
      <c r="F162" s="715"/>
      <c r="G162" s="715"/>
      <c r="H162" s="715"/>
    </row>
    <row r="163" spans="2:8" x14ac:dyDescent="0.3">
      <c r="B163" s="715"/>
      <c r="C163" s="715"/>
      <c r="D163" s="715"/>
      <c r="E163" s="715"/>
      <c r="F163" s="715"/>
      <c r="G163" s="715"/>
      <c r="H163" s="715"/>
    </row>
    <row r="164" spans="2:8" x14ac:dyDescent="0.3">
      <c r="B164" s="715"/>
      <c r="C164" s="715"/>
      <c r="D164" s="715"/>
      <c r="E164" s="715"/>
      <c r="F164" s="715"/>
      <c r="G164" s="715"/>
      <c r="H164" s="715"/>
    </row>
    <row r="165" spans="2:8" x14ac:dyDescent="0.3">
      <c r="B165" s="715"/>
      <c r="C165" s="715"/>
      <c r="D165" s="715"/>
      <c r="E165" s="715"/>
      <c r="F165" s="715"/>
      <c r="G165" s="715"/>
      <c r="H165" s="715"/>
    </row>
    <row r="166" spans="2:8" x14ac:dyDescent="0.3">
      <c r="B166" s="715"/>
      <c r="C166" s="715"/>
      <c r="D166" s="715"/>
      <c r="E166" s="715"/>
      <c r="F166" s="715"/>
      <c r="G166" s="715"/>
      <c r="H166" s="715"/>
    </row>
    <row r="167" spans="2:8" x14ac:dyDescent="0.3">
      <c r="B167" s="715"/>
      <c r="C167" s="715"/>
      <c r="D167" s="715"/>
      <c r="E167" s="715"/>
      <c r="F167" s="715"/>
      <c r="G167" s="715"/>
      <c r="H167" s="715"/>
    </row>
    <row r="168" spans="2:8" x14ac:dyDescent="0.3">
      <c r="B168" s="715"/>
      <c r="C168" s="715"/>
      <c r="D168" s="715"/>
      <c r="E168" s="715"/>
      <c r="F168" s="715"/>
      <c r="G168" s="715"/>
      <c r="H168" s="715"/>
    </row>
    <row r="169" spans="2:8" x14ac:dyDescent="0.3">
      <c r="B169" s="715"/>
      <c r="C169" s="715"/>
      <c r="D169" s="715"/>
      <c r="E169" s="715"/>
      <c r="F169" s="715"/>
      <c r="G169" s="715"/>
      <c r="H169" s="715"/>
    </row>
    <row r="170" spans="2:8" x14ac:dyDescent="0.3">
      <c r="B170" s="715"/>
      <c r="C170" s="715"/>
      <c r="D170" s="715"/>
      <c r="E170" s="715"/>
      <c r="F170" s="715"/>
      <c r="G170" s="715"/>
      <c r="H170" s="715"/>
    </row>
    <row r="171" spans="2:8" x14ac:dyDescent="0.3">
      <c r="B171" s="715"/>
      <c r="C171" s="715"/>
      <c r="D171" s="715"/>
      <c r="E171" s="715"/>
      <c r="F171" s="715"/>
      <c r="G171" s="715"/>
      <c r="H171" s="715"/>
    </row>
    <row r="172" spans="2:8" x14ac:dyDescent="0.3">
      <c r="B172" s="715"/>
      <c r="C172" s="715"/>
      <c r="D172" s="715"/>
      <c r="E172" s="715"/>
      <c r="F172" s="715"/>
      <c r="G172" s="715"/>
      <c r="H172" s="715"/>
    </row>
    <row r="173" spans="2:8" x14ac:dyDescent="0.3">
      <c r="B173" s="715"/>
      <c r="C173" s="715"/>
      <c r="D173" s="715"/>
      <c r="E173" s="715"/>
      <c r="F173" s="715"/>
      <c r="G173" s="715"/>
      <c r="H173" s="715"/>
    </row>
    <row r="174" spans="2:8" x14ac:dyDescent="0.3">
      <c r="B174" s="715"/>
      <c r="C174" s="715"/>
      <c r="D174" s="715"/>
      <c r="E174" s="715"/>
      <c r="F174" s="715"/>
      <c r="G174" s="715"/>
      <c r="H174" s="715"/>
    </row>
    <row r="175" spans="2:8" x14ac:dyDescent="0.3">
      <c r="B175" s="715"/>
      <c r="C175" s="715"/>
      <c r="D175" s="715"/>
      <c r="E175" s="715"/>
      <c r="F175" s="715"/>
      <c r="G175" s="715"/>
      <c r="H175" s="715"/>
    </row>
    <row r="176" spans="2:8" x14ac:dyDescent="0.3">
      <c r="B176" s="715"/>
      <c r="C176" s="715"/>
      <c r="D176" s="715"/>
      <c r="E176" s="715"/>
      <c r="F176" s="715"/>
      <c r="G176" s="715"/>
      <c r="H176" s="715"/>
    </row>
    <row r="177" spans="2:8" x14ac:dyDescent="0.3">
      <c r="B177" s="715"/>
      <c r="C177" s="715"/>
      <c r="D177" s="715"/>
      <c r="E177" s="715"/>
      <c r="F177" s="715"/>
      <c r="G177" s="715"/>
      <c r="H177" s="715"/>
    </row>
    <row r="178" spans="2:8" x14ac:dyDescent="0.3">
      <c r="B178" s="715"/>
      <c r="C178" s="715"/>
      <c r="D178" s="715"/>
      <c r="E178" s="715"/>
      <c r="F178" s="715"/>
      <c r="G178" s="715"/>
      <c r="H178" s="715"/>
    </row>
    <row r="179" spans="2:8" x14ac:dyDescent="0.3">
      <c r="B179" s="715"/>
      <c r="C179" s="715"/>
      <c r="D179" s="715"/>
      <c r="E179" s="715"/>
      <c r="F179" s="715"/>
      <c r="G179" s="715"/>
      <c r="H179" s="715"/>
    </row>
    <row r="180" spans="2:8" x14ac:dyDescent="0.3">
      <c r="B180" s="715"/>
      <c r="C180" s="715"/>
      <c r="D180" s="715"/>
      <c r="E180" s="715"/>
      <c r="F180" s="715"/>
      <c r="G180" s="715"/>
      <c r="H180" s="715"/>
    </row>
    <row r="181" spans="2:8" x14ac:dyDescent="0.3">
      <c r="B181" s="715"/>
      <c r="C181" s="715"/>
      <c r="D181" s="715"/>
      <c r="E181" s="715"/>
      <c r="F181" s="715"/>
      <c r="G181" s="715"/>
      <c r="H181" s="715"/>
    </row>
    <row r="182" spans="2:8" x14ac:dyDescent="0.3">
      <c r="B182" s="715"/>
    </row>
    <row r="183" spans="2:8" x14ac:dyDescent="0.3">
      <c r="B183" s="715"/>
    </row>
  </sheetData>
  <sheetProtection sheet="1" objects="1" scenarios="1" formatCells="0" formatColumns="0" formatRows="0" insertHyperlinks="0" selectLockedCells="1" sort="0" autoFilter="0"/>
  <conditionalFormatting sqref="E17:E26">
    <cfRule type="iconSet" priority="16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31:E40">
    <cfRule type="iconSet" priority="14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45:E54">
    <cfRule type="iconSet" priority="11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59:E68">
    <cfRule type="iconSet" priority="8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73:E82">
    <cfRule type="iconSet" priority="5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87:E96">
    <cfRule type="iconSet" priority="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F17:F26">
    <cfRule type="iconSet" priority="18">
      <iconSet iconSet="3ArrowsGray" showValue="0" reverse="1">
        <cfvo type="percent" val="0"/>
        <cfvo type="num" val="2"/>
        <cfvo type="num" val="3"/>
      </iconSet>
    </cfRule>
  </conditionalFormatting>
  <conditionalFormatting sqref="F31:F40">
    <cfRule type="iconSet" priority="15">
      <iconSet iconSet="3ArrowsGray" showValue="0" reverse="1">
        <cfvo type="percent" val="0"/>
        <cfvo type="num" val="2"/>
        <cfvo type="num" val="3"/>
      </iconSet>
    </cfRule>
  </conditionalFormatting>
  <conditionalFormatting sqref="F45:F54">
    <cfRule type="iconSet" priority="12">
      <iconSet iconSet="3ArrowsGray" showValue="0" reverse="1">
        <cfvo type="percent" val="0"/>
        <cfvo type="num" val="2"/>
        <cfvo type="num" val="3"/>
      </iconSet>
    </cfRule>
  </conditionalFormatting>
  <conditionalFormatting sqref="F59:F68">
    <cfRule type="iconSet" priority="9">
      <iconSet iconSet="3ArrowsGray" showValue="0" reverse="1">
        <cfvo type="percent" val="0"/>
        <cfvo type="num" val="2"/>
        <cfvo type="num" val="3"/>
      </iconSet>
    </cfRule>
  </conditionalFormatting>
  <conditionalFormatting sqref="F73:F82">
    <cfRule type="iconSet" priority="6">
      <iconSet iconSet="3ArrowsGray" showValue="0" reverse="1">
        <cfvo type="percent" val="0"/>
        <cfvo type="num" val="2"/>
        <cfvo type="num" val="3"/>
      </iconSet>
    </cfRule>
  </conditionalFormatting>
  <conditionalFormatting sqref="F87:F96">
    <cfRule type="iconSet" priority="3">
      <iconSet iconSet="3ArrowsGray" showValue="0" reverse="1">
        <cfvo type="percent" val="0"/>
        <cfvo type="num" val="2"/>
        <cfvo type="num" val="3"/>
      </iconSet>
    </cfRule>
  </conditionalFormatting>
  <conditionalFormatting sqref="H17:H26">
    <cfRule type="iconSet" priority="17">
      <iconSet iconSet="3Symbols2" showValue="0" reverse="1">
        <cfvo type="percent" val="0"/>
        <cfvo type="num" val="2"/>
        <cfvo type="num" val="3"/>
      </iconSet>
    </cfRule>
  </conditionalFormatting>
  <conditionalFormatting sqref="H31:H40">
    <cfRule type="iconSet" priority="13">
      <iconSet iconSet="3Symbols2" showValue="0" reverse="1">
        <cfvo type="percent" val="0"/>
        <cfvo type="num" val="2"/>
        <cfvo type="num" val="3"/>
      </iconSet>
    </cfRule>
  </conditionalFormatting>
  <conditionalFormatting sqref="H45:H54">
    <cfRule type="iconSet" priority="10">
      <iconSet iconSet="3Symbols2" showValue="0" reverse="1">
        <cfvo type="percent" val="0"/>
        <cfvo type="num" val="2"/>
        <cfvo type="num" val="3"/>
      </iconSet>
    </cfRule>
  </conditionalFormatting>
  <conditionalFormatting sqref="H59:H68">
    <cfRule type="iconSet" priority="7">
      <iconSet iconSet="3Symbols2" showValue="0" reverse="1">
        <cfvo type="percent" val="0"/>
        <cfvo type="num" val="2"/>
        <cfvo type="num" val="3"/>
      </iconSet>
    </cfRule>
  </conditionalFormatting>
  <conditionalFormatting sqref="H73:H82">
    <cfRule type="iconSet" priority="4">
      <iconSet iconSet="3Symbols2" showValue="0" reverse="1">
        <cfvo type="percent" val="0"/>
        <cfvo type="num" val="2"/>
        <cfvo type="num" val="3"/>
      </iconSet>
    </cfRule>
  </conditionalFormatting>
  <conditionalFormatting sqref="H87:H96">
    <cfRule type="iconSet" priority="1">
      <iconSet iconSet="3Symbols2" showValue="0" reverse="1">
        <cfvo type="percent" val="0"/>
        <cfvo type="num" val="2"/>
        <cfvo type="num" val="3"/>
      </iconSet>
    </cfRule>
  </conditionalFormatting>
  <dataValidations count="2">
    <dataValidation type="list" showInputMessage="1" showErrorMessage="1" sqref="F59:F68 F73:F82 H87:H96 F45:F54 F31:F40 F17:F26 H17:H26 H31:H40 H45:H54 H59:H68 H73:H82 F87:F96" xr:uid="{00000000-0002-0000-0900-000000000000}">
      <formula1>"1,2,3"</formula1>
    </dataValidation>
    <dataValidation type="list" showInputMessage="1" showErrorMessage="1" sqref="E73:E82 E17:E26 E31:E40 E45:E54 E59:E68 E87:E96" xr:uid="{00000000-0002-0000-0900-000001000000}">
      <formula1>"0,1,2,3,4"</formula1>
    </dataValidation>
  </dataValidations>
  <printOptions horizontalCentered="1" vertic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249977111117893"/>
    <pageSetUpPr fitToPage="1"/>
  </sheetPr>
  <dimension ref="A1:K40"/>
  <sheetViews>
    <sheetView showGridLines="0" zoomScaleNormal="100" workbookViewId="0">
      <pane ySplit="1" topLeftCell="A5" activePane="bottomLeft" state="frozen"/>
      <selection activeCell="N13" sqref="N13"/>
      <selection pane="bottomLeft" activeCell="E3" sqref="E3"/>
    </sheetView>
  </sheetViews>
  <sheetFormatPr baseColWidth="10" defaultColWidth="11.44140625" defaultRowHeight="14.4" x14ac:dyDescent="0.3"/>
  <cols>
    <col min="1" max="1" width="7" style="627" customWidth="1"/>
    <col min="2" max="2" width="50.88671875" style="626" customWidth="1"/>
    <col min="3" max="3" width="72.33203125" style="626" customWidth="1"/>
    <col min="4" max="4" width="2.109375" style="626" customWidth="1"/>
    <col min="5" max="5" width="55.5546875" style="626" customWidth="1"/>
    <col min="6" max="6" width="4.109375" style="626" customWidth="1"/>
    <col min="7" max="16" width="3" style="626" customWidth="1"/>
    <col min="17" max="16384" width="11.44140625" style="626"/>
  </cols>
  <sheetData>
    <row r="1" spans="1:11" ht="45" customHeight="1" x14ac:dyDescent="0.3">
      <c r="A1" s="623"/>
      <c r="B1" s="624" t="str">
        <f ca="1">' '!A421</f>
        <v>C O N S U M E R   T R E N D   C A N V A S</v>
      </c>
      <c r="C1" s="624"/>
      <c r="D1" s="624"/>
      <c r="E1" s="693"/>
      <c r="F1" s="625"/>
      <c r="G1" s="625"/>
      <c r="H1" s="625"/>
      <c r="I1" s="625"/>
      <c r="J1" s="625"/>
      <c r="K1" s="625"/>
    </row>
    <row r="2" spans="1:11" ht="7.5" customHeight="1" x14ac:dyDescent="0.3">
      <c r="B2" s="625"/>
      <c r="C2" s="625"/>
      <c r="D2" s="625"/>
      <c r="E2" s="625"/>
      <c r="F2" s="629"/>
    </row>
    <row r="3" spans="1:11" s="627" customFormat="1" x14ac:dyDescent="0.3">
      <c r="A3" s="630"/>
      <c r="B3" s="631"/>
      <c r="C3" s="631" t="str">
        <f ca="1">' '!A429</f>
        <v>Trend:</v>
      </c>
      <c r="D3" s="631"/>
      <c r="E3" s="634"/>
    </row>
    <row r="4" spans="1:11" ht="16.5" customHeight="1" x14ac:dyDescent="0.3"/>
    <row r="5" spans="1:11" ht="13.5" customHeight="1" x14ac:dyDescent="0.3"/>
    <row r="6" spans="1:11" ht="21" x14ac:dyDescent="0.4">
      <c r="B6" s="694" t="str">
        <f ca="1">' '!A422</f>
        <v>Basic Needs</v>
      </c>
      <c r="C6" s="694" t="str">
        <f ca="1">' '!A423</f>
        <v>Drivers of Change</v>
      </c>
      <c r="D6" s="646"/>
      <c r="E6" s="694" t="str">
        <f ca="1">' '!A426</f>
        <v>Innovation Potential</v>
      </c>
    </row>
    <row r="7" spans="1:11" x14ac:dyDescent="0.3">
      <c r="B7" s="636"/>
      <c r="C7" s="637"/>
      <c r="D7" s="695"/>
      <c r="E7" s="638"/>
    </row>
    <row r="8" spans="1:11" x14ac:dyDescent="0.3">
      <c r="B8" s="639"/>
      <c r="C8" s="640"/>
      <c r="D8" s="640"/>
      <c r="E8" s="641"/>
    </row>
    <row r="9" spans="1:11" x14ac:dyDescent="0.3">
      <c r="B9" s="639"/>
      <c r="C9" s="640"/>
      <c r="D9" s="640"/>
      <c r="E9" s="641"/>
    </row>
    <row r="10" spans="1:11" x14ac:dyDescent="0.3">
      <c r="B10" s="642"/>
      <c r="C10" s="640"/>
      <c r="D10" s="640"/>
      <c r="E10" s="643"/>
    </row>
    <row r="11" spans="1:11" x14ac:dyDescent="0.3">
      <c r="B11" s="644"/>
      <c r="C11" s="645"/>
      <c r="D11" s="646"/>
      <c r="E11" s="643"/>
    </row>
    <row r="12" spans="1:11" x14ac:dyDescent="0.3">
      <c r="B12" s="644"/>
      <c r="C12" s="645"/>
      <c r="D12" s="646"/>
      <c r="E12" s="643"/>
    </row>
    <row r="13" spans="1:11" x14ac:dyDescent="0.3">
      <c r="B13" s="644"/>
      <c r="C13" s="645"/>
      <c r="D13" s="646"/>
      <c r="E13" s="643"/>
    </row>
    <row r="14" spans="1:11" x14ac:dyDescent="0.3">
      <c r="B14" s="644"/>
      <c r="C14" s="645"/>
      <c r="D14" s="646"/>
      <c r="E14" s="643"/>
    </row>
    <row r="15" spans="1:11" x14ac:dyDescent="0.3">
      <c r="B15" s="644"/>
      <c r="C15" s="645"/>
      <c r="D15" s="646"/>
      <c r="E15" s="643"/>
    </row>
    <row r="16" spans="1:11" x14ac:dyDescent="0.3">
      <c r="B16" s="644"/>
      <c r="C16" s="645"/>
      <c r="D16" s="646"/>
      <c r="E16" s="643"/>
    </row>
    <row r="17" spans="2:5" x14ac:dyDescent="0.3">
      <c r="B17" s="644"/>
      <c r="C17" s="645"/>
      <c r="D17" s="646"/>
      <c r="E17" s="643"/>
    </row>
    <row r="18" spans="2:5" x14ac:dyDescent="0.3">
      <c r="B18" s="644"/>
      <c r="C18" s="645"/>
      <c r="D18" s="646"/>
      <c r="E18" s="643"/>
    </row>
    <row r="19" spans="2:5" x14ac:dyDescent="0.3">
      <c r="B19" s="644"/>
      <c r="C19" s="645"/>
      <c r="D19" s="646"/>
      <c r="E19" s="643"/>
    </row>
    <row r="20" spans="2:5" x14ac:dyDescent="0.3">
      <c r="B20" s="644"/>
      <c r="C20" s="645"/>
      <c r="D20" s="646"/>
      <c r="E20" s="643"/>
    </row>
    <row r="21" spans="2:5" x14ac:dyDescent="0.3">
      <c r="B21" s="644"/>
      <c r="C21" s="645"/>
      <c r="D21" s="646"/>
      <c r="E21" s="643"/>
    </row>
    <row r="22" spans="2:5" x14ac:dyDescent="0.3">
      <c r="B22" s="644"/>
      <c r="C22" s="637"/>
      <c r="D22" s="646"/>
      <c r="E22" s="643"/>
    </row>
    <row r="23" spans="2:5" ht="21" x14ac:dyDescent="0.4">
      <c r="B23" s="696" t="str">
        <f ca="1">' '!A424</f>
        <v>Emerging Consumer Expectations</v>
      </c>
      <c r="C23" s="696" t="str">
        <f ca="1">' '!A425</f>
        <v>Inspiration</v>
      </c>
      <c r="D23" s="646"/>
      <c r="E23" s="697" t="str">
        <f ca="1">' '!A427</f>
        <v>Who</v>
      </c>
    </row>
    <row r="24" spans="2:5" x14ac:dyDescent="0.3">
      <c r="B24" s="650"/>
      <c r="C24" s="637"/>
      <c r="D24" s="646"/>
      <c r="E24" s="643"/>
    </row>
    <row r="25" spans="2:5" ht="15" customHeight="1" x14ac:dyDescent="0.3">
      <c r="B25" s="650"/>
      <c r="C25" s="651"/>
      <c r="D25" s="646"/>
      <c r="E25" s="643"/>
    </row>
    <row r="26" spans="2:5" x14ac:dyDescent="0.3">
      <c r="B26" s="650"/>
      <c r="C26" s="651"/>
      <c r="D26" s="646"/>
      <c r="E26" s="643"/>
    </row>
    <row r="27" spans="2:5" x14ac:dyDescent="0.3">
      <c r="B27" s="650"/>
      <c r="C27" s="651"/>
      <c r="D27" s="646"/>
      <c r="E27" s="643"/>
    </row>
    <row r="28" spans="2:5" x14ac:dyDescent="0.3">
      <c r="B28" s="650"/>
      <c r="C28" s="645"/>
      <c r="D28" s="646"/>
      <c r="E28" s="643"/>
    </row>
    <row r="29" spans="2:5" x14ac:dyDescent="0.3">
      <c r="B29" s="650"/>
      <c r="C29" s="645"/>
      <c r="D29" s="646"/>
      <c r="E29" s="643"/>
    </row>
    <row r="30" spans="2:5" x14ac:dyDescent="0.3">
      <c r="B30" s="650"/>
      <c r="C30" s="645"/>
      <c r="D30" s="646"/>
      <c r="E30" s="643"/>
    </row>
    <row r="31" spans="2:5" x14ac:dyDescent="0.3">
      <c r="B31" s="650"/>
      <c r="C31" s="645"/>
      <c r="D31" s="646"/>
      <c r="E31" s="643"/>
    </row>
    <row r="32" spans="2:5" x14ac:dyDescent="0.3">
      <c r="B32" s="650"/>
      <c r="C32" s="645"/>
      <c r="D32" s="646"/>
      <c r="E32" s="643"/>
    </row>
    <row r="33" spans="2:5" x14ac:dyDescent="0.3">
      <c r="B33" s="650"/>
      <c r="C33" s="645"/>
      <c r="D33" s="646"/>
      <c r="E33" s="643"/>
    </row>
    <row r="34" spans="2:5" x14ac:dyDescent="0.3">
      <c r="B34" s="650"/>
      <c r="C34" s="645"/>
      <c r="D34" s="646"/>
      <c r="E34" s="643"/>
    </row>
    <row r="35" spans="2:5" x14ac:dyDescent="0.3">
      <c r="B35" s="650"/>
      <c r="C35" s="645"/>
      <c r="D35" s="646"/>
      <c r="E35" s="643"/>
    </row>
    <row r="36" spans="2:5" x14ac:dyDescent="0.3">
      <c r="B36" s="650"/>
      <c r="C36" s="645"/>
      <c r="D36" s="646"/>
      <c r="E36" s="643"/>
    </row>
    <row r="37" spans="2:5" x14ac:dyDescent="0.3">
      <c r="B37" s="650"/>
      <c r="C37" s="645"/>
      <c r="D37" s="646"/>
      <c r="E37" s="638"/>
    </row>
    <row r="38" spans="2:5" x14ac:dyDescent="0.3">
      <c r="B38" s="650"/>
      <c r="C38" s="645"/>
      <c r="D38" s="695"/>
      <c r="E38" s="638"/>
    </row>
    <row r="39" spans="2:5" x14ac:dyDescent="0.3">
      <c r="B39" s="1013"/>
      <c r="C39" s="1014"/>
      <c r="D39" s="1015"/>
      <c r="E39" s="698"/>
    </row>
    <row r="40" spans="2:5" x14ac:dyDescent="0.3">
      <c r="B40" s="74" t="s">
        <v>2103</v>
      </c>
      <c r="C40" s="97"/>
    </row>
  </sheetData>
  <sheetProtection sheet="1" objects="1" scenarios="1" formatCells="0" formatColumns="0" formatRows="0" insertHyperlinks="0" selectLockedCells="1" sort="0" autoFilter="0"/>
  <mergeCells count="1">
    <mergeCell ref="B39:D39"/>
  </mergeCells>
  <pageMargins left="0.23622047244094491" right="3.937007874015748E-2" top="0.35433070866141736" bottom="0.35433070866141736" header="0" footer="0.31496062992125984"/>
  <pageSetup paperSize="9" scale="80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Menu">
    <tabColor theme="0" tint="-0.499984740745262"/>
    <pageSetUpPr fitToPage="1"/>
  </sheetPr>
  <dimension ref="A1:S103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4.4" x14ac:dyDescent="0.3"/>
  <cols>
    <col min="1" max="1" width="7" style="688" customWidth="1"/>
    <col min="2" max="4" width="11.44140625" style="688"/>
    <col min="5" max="5" width="11.44140625" style="688" customWidth="1"/>
    <col min="6" max="9" width="11.44140625" style="688"/>
    <col min="10" max="10" width="7.44140625" style="688" customWidth="1"/>
    <col min="11" max="11" width="11.6640625" style="688" customWidth="1"/>
    <col min="12" max="12" width="4.109375" style="688" customWidth="1"/>
    <col min="13" max="13" width="11.44140625" style="688"/>
    <col min="14" max="19" width="2.88671875" style="688" customWidth="1"/>
    <col min="20" max="16384" width="11.44140625" style="688"/>
  </cols>
  <sheetData>
    <row r="1" spans="1:19" s="680" customFormat="1" ht="45" customHeight="1" x14ac:dyDescent="0.3">
      <c r="B1" s="681" t="str">
        <f ca="1">' '!A545</f>
        <v>G A N Z H E I T L I C H E   F Ü H R U N G</v>
      </c>
      <c r="C1" s="682"/>
      <c r="D1" s="682"/>
      <c r="E1" s="682"/>
      <c r="F1" s="682"/>
      <c r="G1" s="682"/>
      <c r="H1" s="682"/>
      <c r="I1" s="683"/>
      <c r="J1" s="122"/>
      <c r="L1" s="684"/>
      <c r="M1" s="685"/>
      <c r="N1" s="685"/>
      <c r="O1" s="685"/>
      <c r="P1" s="685"/>
      <c r="Q1" s="685"/>
      <c r="R1" s="685"/>
      <c r="S1" s="685"/>
    </row>
    <row r="2" spans="1:19" ht="21" customHeight="1" x14ac:dyDescent="0.3">
      <c r="A2" s="686"/>
      <c r="B2" s="687"/>
    </row>
    <row r="3" spans="1:19" x14ac:dyDescent="0.3">
      <c r="A3" s="139" t="s">
        <v>1799</v>
      </c>
    </row>
    <row r="5" spans="1:19" ht="12.75" customHeight="1" x14ac:dyDescent="0.3"/>
    <row r="6" spans="1:19" ht="6" customHeight="1" x14ac:dyDescent="0.3"/>
    <row r="10" spans="1:19" x14ac:dyDescent="0.3">
      <c r="P10" s="1016"/>
    </row>
    <row r="11" spans="1:19" x14ac:dyDescent="0.3">
      <c r="P11" s="1016"/>
    </row>
    <row r="14" spans="1:19" x14ac:dyDescent="0.3">
      <c r="P14" s="689"/>
    </row>
    <row r="39" spans="2:3" x14ac:dyDescent="0.3">
      <c r="B39" s="74" t="s">
        <v>2103</v>
      </c>
      <c r="C39" s="690"/>
    </row>
    <row r="88" spans="1:2" x14ac:dyDescent="0.3">
      <c r="B88" s="691"/>
    </row>
    <row r="92" spans="1:2" x14ac:dyDescent="0.3">
      <c r="B92" s="691"/>
    </row>
    <row r="95" spans="1:2" x14ac:dyDescent="0.3">
      <c r="A95" s="688" t="s">
        <v>1800</v>
      </c>
    </row>
    <row r="103" spans="4:4" ht="15.6" x14ac:dyDescent="0.3">
      <c r="D103" s="692"/>
    </row>
  </sheetData>
  <sheetProtection sheet="1" objects="1" scenarios="1" formatCells="0" formatColumns="0" formatRows="0" insertHyperlinks="0" selectLockedCells="1" sort="0" autoFilter="0" selectUnlockedCells="1"/>
  <mergeCells count="1">
    <mergeCell ref="P10:P11"/>
  </mergeCells>
  <hyperlinks>
    <hyperlink ref="A3" location="x!A5" display="x!A5" xr:uid="{00000000-0004-0000-0B00-000000000000}"/>
  </hyperlinks>
  <pageMargins left="0.23622047244094491" right="0.23622047244094491" top="0.74803149606299213" bottom="0.74803149606299213" header="0.31496062992125984" footer="0.31496062992125984"/>
  <pageSetup paperSize="9" scale="83" orientation="portrait" r:id="rId1"/>
  <headerFooter>
    <oddFooter>&amp;L&amp;8&amp;K00-049(c) S.Imboden&amp;R&amp;8&amp;K00-049Seite &amp;P von &amp;N</oddFooter>
  </headerFooter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 tint="-0.499984740745262"/>
    <pageSetUpPr fitToPage="1"/>
  </sheetPr>
  <dimension ref="A1:O131"/>
  <sheetViews>
    <sheetView showGridLines="0" zoomScaleNormal="100" workbookViewId="0">
      <pane ySplit="4" topLeftCell="A5" activePane="bottomLeft" state="frozen"/>
      <selection activeCell="N13" sqref="N13"/>
      <selection pane="bottomLeft" activeCell="C5" sqref="C5"/>
    </sheetView>
  </sheetViews>
  <sheetFormatPr baseColWidth="10" defaultColWidth="12.5546875" defaultRowHeight="14.4" x14ac:dyDescent="0.3"/>
  <cols>
    <col min="1" max="1" width="7" style="97" customWidth="1"/>
    <col min="2" max="2" width="4.5546875" style="655" customWidth="1"/>
    <col min="3" max="3" width="29" style="655" customWidth="1"/>
    <col min="4" max="4" width="10.6640625" style="655" customWidth="1"/>
    <col min="5" max="5" width="11.88671875" style="655" bestFit="1" customWidth="1"/>
    <col min="6" max="6" width="42.5546875" style="655" customWidth="1"/>
    <col min="7" max="7" width="11.109375" style="655" customWidth="1"/>
    <col min="8" max="8" width="32.44140625" style="655" customWidth="1"/>
    <col min="9" max="9" width="7" style="655" customWidth="1"/>
    <col min="10" max="10" width="0.109375" style="426" customWidth="1"/>
    <col min="11" max="11" width="4" style="655" hidden="1" customWidth="1"/>
    <col min="12" max="24" width="4" style="655" customWidth="1"/>
    <col min="25" max="16384" width="12.5546875" style="655"/>
  </cols>
  <sheetData>
    <row r="1" spans="1:15" s="154" customFormat="1" ht="45" customHeight="1" x14ac:dyDescent="0.3">
      <c r="A1" s="652"/>
      <c r="B1" s="653" t="str">
        <f ca="1">' '!A370</f>
        <v>K O A L I T I O N E N</v>
      </c>
      <c r="C1" s="653"/>
      <c r="D1" s="653"/>
      <c r="E1" s="653"/>
      <c r="F1" s="653"/>
      <c r="G1" s="653"/>
      <c r="H1" s="653"/>
      <c r="I1" s="82"/>
      <c r="J1" s="654"/>
    </row>
    <row r="2" spans="1:15" s="97" customFormat="1" ht="14.25" customHeight="1" x14ac:dyDescent="0.3">
      <c r="A2" s="66"/>
      <c r="J2" s="184"/>
    </row>
    <row r="3" spans="1:15" ht="10.5" customHeight="1" x14ac:dyDescent="0.3">
      <c r="A3" s="139"/>
      <c r="C3" s="97"/>
    </row>
    <row r="4" spans="1:15" ht="33.75" customHeight="1" x14ac:dyDescent="0.3">
      <c r="B4" s="656" t="str">
        <f ca="1">' '!A384</f>
        <v>Nr.</v>
      </c>
      <c r="C4" s="657" t="str">
        <f ca="1">' '!A385</f>
        <v>Anspruchsgruppe</v>
      </c>
      <c r="D4" s="657" t="str">
        <f ca="1">' '!A387</f>
        <v>Stärke der Interessen</v>
      </c>
      <c r="E4" s="657" t="str">
        <f ca="1">' '!A388</f>
        <v>Höhe des Einflusses</v>
      </c>
      <c r="F4" s="657" t="str">
        <f ca="1">' '!A386</f>
        <v>Interessen, Erwartungen</v>
      </c>
      <c r="G4" s="657" t="str">
        <f ca="1">' '!A392</f>
        <v>Grösse der Gruppe</v>
      </c>
      <c r="H4" s="657" t="str">
        <f ca="1">' '!A389</f>
        <v>Chancen (+) und 
Gefahren (-)</v>
      </c>
      <c r="I4" s="658" t="str">
        <f ca="1">' '!A391</f>
        <v>Status</v>
      </c>
    </row>
    <row r="5" spans="1:15" ht="23.4" x14ac:dyDescent="0.3">
      <c r="B5" s="659" t="s">
        <v>322</v>
      </c>
      <c r="C5" s="660" t="s">
        <v>736</v>
      </c>
      <c r="D5" s="661">
        <v>8.1818181818181817</v>
      </c>
      <c r="E5" s="661">
        <v>4</v>
      </c>
      <c r="F5" s="660"/>
      <c r="G5" s="662">
        <v>2</v>
      </c>
      <c r="H5" s="660"/>
      <c r="I5" s="663">
        <v>1</v>
      </c>
      <c r="J5" s="426">
        <f>IF(G5=3,3,
IF(G5=2,2,1))</f>
        <v>2</v>
      </c>
      <c r="M5" s="664"/>
      <c r="N5" s="664"/>
      <c r="O5" s="665"/>
    </row>
    <row r="6" spans="1:15" ht="23.4" x14ac:dyDescent="0.3">
      <c r="B6" s="148" t="s">
        <v>323</v>
      </c>
      <c r="C6" s="666" t="s">
        <v>1686</v>
      </c>
      <c r="D6" s="667">
        <v>5</v>
      </c>
      <c r="E6" s="667">
        <v>6</v>
      </c>
      <c r="F6" s="666"/>
      <c r="G6" s="668">
        <v>1</v>
      </c>
      <c r="H6" s="669"/>
      <c r="I6" s="670">
        <v>2</v>
      </c>
      <c r="J6" s="426">
        <f t="shared" ref="J6:J24" si="0">IF(G6=3,3,
IF(G6=2,2,1))</f>
        <v>1</v>
      </c>
      <c r="M6" s="97"/>
      <c r="N6" s="97"/>
      <c r="O6" s="665"/>
    </row>
    <row r="7" spans="1:15" ht="23.4" x14ac:dyDescent="0.3">
      <c r="B7" s="148" t="s">
        <v>324</v>
      </c>
      <c r="C7" s="666"/>
      <c r="D7" s="667">
        <v>9.0909090909090899</v>
      </c>
      <c r="E7" s="667">
        <v>8</v>
      </c>
      <c r="F7" s="666"/>
      <c r="G7" s="668">
        <v>3</v>
      </c>
      <c r="H7" s="666"/>
      <c r="I7" s="670">
        <v>3</v>
      </c>
      <c r="J7" s="426">
        <f t="shared" si="0"/>
        <v>3</v>
      </c>
      <c r="M7" s="97"/>
      <c r="N7" s="97"/>
      <c r="O7" s="665"/>
    </row>
    <row r="8" spans="1:15" ht="23.4" x14ac:dyDescent="0.3">
      <c r="B8" s="148" t="s">
        <v>325</v>
      </c>
      <c r="C8" s="666"/>
      <c r="D8" s="667"/>
      <c r="E8" s="667"/>
      <c r="F8" s="666"/>
      <c r="G8" s="668"/>
      <c r="H8" s="666"/>
      <c r="I8" s="670"/>
      <c r="J8" s="426">
        <f t="shared" si="0"/>
        <v>1</v>
      </c>
      <c r="M8" s="97"/>
      <c r="N8" s="97"/>
      <c r="O8" s="665"/>
    </row>
    <row r="9" spans="1:15" ht="23.4" x14ac:dyDescent="0.3">
      <c r="B9" s="148" t="s">
        <v>326</v>
      </c>
      <c r="C9" s="666"/>
      <c r="D9" s="667"/>
      <c r="E9" s="667"/>
      <c r="F9" s="666"/>
      <c r="G9" s="668"/>
      <c r="H9" s="666"/>
      <c r="I9" s="670"/>
      <c r="J9" s="426">
        <f t="shared" si="0"/>
        <v>1</v>
      </c>
      <c r="M9" s="97"/>
      <c r="N9" s="97"/>
      <c r="O9" s="665"/>
    </row>
    <row r="10" spans="1:15" ht="23.4" x14ac:dyDescent="0.3">
      <c r="B10" s="148" t="s">
        <v>327</v>
      </c>
      <c r="C10" s="666"/>
      <c r="D10" s="667"/>
      <c r="E10" s="667"/>
      <c r="F10" s="666"/>
      <c r="G10" s="668"/>
      <c r="H10" s="666"/>
      <c r="I10" s="670"/>
      <c r="J10" s="426">
        <f t="shared" si="0"/>
        <v>1</v>
      </c>
      <c r="M10" s="97"/>
      <c r="N10" s="97"/>
      <c r="O10" s="665"/>
    </row>
    <row r="11" spans="1:15" ht="23.4" x14ac:dyDescent="0.3">
      <c r="B11" s="148" t="s">
        <v>328</v>
      </c>
      <c r="C11" s="666"/>
      <c r="D11" s="667"/>
      <c r="E11" s="667"/>
      <c r="F11" s="666"/>
      <c r="G11" s="668"/>
      <c r="H11" s="666"/>
      <c r="I11" s="670"/>
      <c r="J11" s="426">
        <f t="shared" si="0"/>
        <v>1</v>
      </c>
      <c r="M11" s="97"/>
      <c r="N11" s="97"/>
      <c r="O11" s="665"/>
    </row>
    <row r="12" spans="1:15" ht="23.4" x14ac:dyDescent="0.3">
      <c r="B12" s="148" t="s">
        <v>329</v>
      </c>
      <c r="C12" s="666"/>
      <c r="D12" s="667"/>
      <c r="E12" s="667"/>
      <c r="F12" s="666"/>
      <c r="G12" s="668"/>
      <c r="H12" s="666"/>
      <c r="I12" s="670"/>
      <c r="J12" s="426">
        <f t="shared" si="0"/>
        <v>1</v>
      </c>
      <c r="M12" s="97"/>
      <c r="N12" s="97"/>
      <c r="O12" s="665"/>
    </row>
    <row r="13" spans="1:15" ht="23.4" x14ac:dyDescent="0.3">
      <c r="B13" s="148" t="s">
        <v>330</v>
      </c>
      <c r="C13" s="666"/>
      <c r="D13" s="667"/>
      <c r="E13" s="667"/>
      <c r="F13" s="666"/>
      <c r="G13" s="668"/>
      <c r="H13" s="666"/>
      <c r="I13" s="670"/>
      <c r="J13" s="426">
        <f t="shared" si="0"/>
        <v>1</v>
      </c>
      <c r="M13" s="97"/>
      <c r="N13" s="97"/>
      <c r="O13" s="665"/>
    </row>
    <row r="14" spans="1:15" ht="23.4" x14ac:dyDescent="0.3">
      <c r="B14" s="148" t="s">
        <v>331</v>
      </c>
      <c r="C14" s="666"/>
      <c r="D14" s="667"/>
      <c r="E14" s="667"/>
      <c r="F14" s="666"/>
      <c r="G14" s="668"/>
      <c r="H14" s="666"/>
      <c r="I14" s="670"/>
      <c r="J14" s="426">
        <f t="shared" si="0"/>
        <v>1</v>
      </c>
      <c r="M14" s="97"/>
      <c r="N14" s="97"/>
      <c r="O14" s="665"/>
    </row>
    <row r="15" spans="1:15" ht="23.4" x14ac:dyDescent="0.3">
      <c r="B15" s="148" t="s">
        <v>332</v>
      </c>
      <c r="C15" s="666"/>
      <c r="D15" s="667"/>
      <c r="E15" s="667"/>
      <c r="F15" s="666"/>
      <c r="G15" s="668"/>
      <c r="H15" s="666"/>
      <c r="I15" s="670"/>
      <c r="J15" s="426">
        <f t="shared" si="0"/>
        <v>1</v>
      </c>
      <c r="M15" s="97"/>
      <c r="N15" s="97"/>
      <c r="O15" s="665"/>
    </row>
    <row r="16" spans="1:15" ht="23.4" x14ac:dyDescent="0.3">
      <c r="B16" s="148" t="s">
        <v>333</v>
      </c>
      <c r="C16" s="666"/>
      <c r="D16" s="667"/>
      <c r="E16" s="667"/>
      <c r="F16" s="666"/>
      <c r="G16" s="668"/>
      <c r="H16" s="666"/>
      <c r="I16" s="670"/>
      <c r="J16" s="426">
        <f t="shared" si="0"/>
        <v>1</v>
      </c>
      <c r="M16" s="97"/>
      <c r="N16" s="97"/>
      <c r="O16" s="665"/>
    </row>
    <row r="17" spans="2:15" ht="23.4" x14ac:dyDescent="0.3">
      <c r="B17" s="148" t="s">
        <v>334</v>
      </c>
      <c r="C17" s="666"/>
      <c r="D17" s="667"/>
      <c r="E17" s="667"/>
      <c r="F17" s="666"/>
      <c r="G17" s="668"/>
      <c r="H17" s="666"/>
      <c r="I17" s="670"/>
      <c r="J17" s="426">
        <f t="shared" si="0"/>
        <v>1</v>
      </c>
      <c r="M17" s="97"/>
      <c r="N17" s="97"/>
      <c r="O17" s="665"/>
    </row>
    <row r="18" spans="2:15" ht="23.4" x14ac:dyDescent="0.3">
      <c r="B18" s="148" t="s">
        <v>335</v>
      </c>
      <c r="C18" s="666"/>
      <c r="D18" s="667"/>
      <c r="E18" s="667"/>
      <c r="F18" s="666"/>
      <c r="G18" s="668"/>
      <c r="H18" s="666"/>
      <c r="I18" s="670"/>
      <c r="J18" s="426">
        <f t="shared" si="0"/>
        <v>1</v>
      </c>
      <c r="M18" s="97"/>
      <c r="N18" s="97"/>
      <c r="O18" s="665"/>
    </row>
    <row r="19" spans="2:15" ht="23.4" x14ac:dyDescent="0.3">
      <c r="B19" s="148" t="s">
        <v>336</v>
      </c>
      <c r="C19" s="666"/>
      <c r="D19" s="667"/>
      <c r="E19" s="667"/>
      <c r="F19" s="666"/>
      <c r="G19" s="668"/>
      <c r="H19" s="666"/>
      <c r="I19" s="670"/>
      <c r="J19" s="426">
        <f t="shared" si="0"/>
        <v>1</v>
      </c>
      <c r="M19" s="97"/>
      <c r="N19" s="97"/>
      <c r="O19" s="665"/>
    </row>
    <row r="20" spans="2:15" ht="23.4" x14ac:dyDescent="0.3">
      <c r="B20" s="148" t="s">
        <v>337</v>
      </c>
      <c r="C20" s="666"/>
      <c r="D20" s="667"/>
      <c r="E20" s="667"/>
      <c r="F20" s="666"/>
      <c r="G20" s="668"/>
      <c r="H20" s="666"/>
      <c r="I20" s="670"/>
      <c r="J20" s="426">
        <f t="shared" si="0"/>
        <v>1</v>
      </c>
      <c r="M20" s="97"/>
      <c r="N20" s="97"/>
      <c r="O20" s="665"/>
    </row>
    <row r="21" spans="2:15" ht="23.4" x14ac:dyDescent="0.3">
      <c r="B21" s="148" t="s">
        <v>338</v>
      </c>
      <c r="C21" s="666"/>
      <c r="D21" s="667"/>
      <c r="E21" s="667"/>
      <c r="F21" s="666"/>
      <c r="G21" s="668"/>
      <c r="H21" s="666"/>
      <c r="I21" s="670"/>
      <c r="J21" s="426">
        <f t="shared" si="0"/>
        <v>1</v>
      </c>
      <c r="M21" s="97"/>
      <c r="N21" s="97"/>
      <c r="O21" s="665"/>
    </row>
    <row r="22" spans="2:15" ht="23.4" x14ac:dyDescent="0.3">
      <c r="B22" s="148" t="s">
        <v>339</v>
      </c>
      <c r="C22" s="666"/>
      <c r="D22" s="667"/>
      <c r="E22" s="667"/>
      <c r="F22" s="666"/>
      <c r="G22" s="668"/>
      <c r="H22" s="666"/>
      <c r="I22" s="670"/>
      <c r="J22" s="426">
        <f t="shared" si="0"/>
        <v>1</v>
      </c>
      <c r="M22" s="97"/>
      <c r="N22" s="97"/>
      <c r="O22" s="665"/>
    </row>
    <row r="23" spans="2:15" ht="23.4" x14ac:dyDescent="0.3">
      <c r="B23" s="148" t="s">
        <v>628</v>
      </c>
      <c r="C23" s="666"/>
      <c r="D23" s="667"/>
      <c r="E23" s="667"/>
      <c r="F23" s="666"/>
      <c r="G23" s="668"/>
      <c r="H23" s="666"/>
      <c r="I23" s="670"/>
      <c r="J23" s="426">
        <f t="shared" si="0"/>
        <v>1</v>
      </c>
      <c r="M23" s="97"/>
      <c r="N23" s="97"/>
      <c r="O23" s="665"/>
    </row>
    <row r="24" spans="2:15" ht="23.4" x14ac:dyDescent="0.3">
      <c r="B24" s="671" t="s">
        <v>631</v>
      </c>
      <c r="C24" s="672"/>
      <c r="D24" s="673"/>
      <c r="E24" s="673"/>
      <c r="F24" s="672"/>
      <c r="G24" s="674"/>
      <c r="H24" s="672"/>
      <c r="I24" s="675"/>
      <c r="J24" s="426">
        <f t="shared" si="0"/>
        <v>1</v>
      </c>
      <c r="M24" s="97"/>
      <c r="N24" s="97"/>
      <c r="O24" s="665"/>
    </row>
    <row r="25" spans="2:15" x14ac:dyDescent="0.3">
      <c r="B25" s="74" t="s">
        <v>2103</v>
      </c>
      <c r="C25" s="97"/>
      <c r="M25" s="97"/>
      <c r="N25" s="97"/>
    </row>
    <row r="26" spans="2:15" ht="22.5" customHeight="1" x14ac:dyDescent="0.3">
      <c r="M26" s="97"/>
      <c r="N26" s="97"/>
    </row>
    <row r="27" spans="2:15" ht="22.5" customHeight="1" x14ac:dyDescent="0.3">
      <c r="M27" s="97"/>
      <c r="N27" s="97"/>
    </row>
    <row r="28" spans="2:15" ht="22.5" customHeight="1" x14ac:dyDescent="0.35">
      <c r="G28" s="676" t="str">
        <f t="shared" ref="G28:G47" si="1">CONCATENATE("    ",B5,"   ",C5)</f>
        <v xml:space="preserve">    s1   Groupe 1</v>
      </c>
      <c r="M28" s="97"/>
      <c r="N28" s="97"/>
    </row>
    <row r="29" spans="2:15" ht="22.5" customHeight="1" x14ac:dyDescent="0.35">
      <c r="G29" s="676" t="str">
        <f t="shared" si="1"/>
        <v xml:space="preserve">    s2   Groupe 2</v>
      </c>
      <c r="M29" s="97"/>
      <c r="N29" s="97"/>
    </row>
    <row r="30" spans="2:15" ht="22.5" customHeight="1" x14ac:dyDescent="0.35">
      <c r="G30" s="676" t="str">
        <f t="shared" si="1"/>
        <v xml:space="preserve">    s3   </v>
      </c>
      <c r="M30" s="97"/>
      <c r="N30" s="97"/>
    </row>
    <row r="31" spans="2:15" ht="22.5" customHeight="1" x14ac:dyDescent="0.35">
      <c r="G31" s="676" t="str">
        <f t="shared" si="1"/>
        <v xml:space="preserve">    s4   </v>
      </c>
      <c r="M31" s="97"/>
      <c r="N31" s="97"/>
    </row>
    <row r="32" spans="2:15" ht="22.5" customHeight="1" x14ac:dyDescent="0.35">
      <c r="G32" s="676" t="str">
        <f t="shared" si="1"/>
        <v xml:space="preserve">    s5   </v>
      </c>
      <c r="M32" s="97"/>
      <c r="N32" s="97"/>
    </row>
    <row r="33" spans="7:14" ht="22.5" customHeight="1" x14ac:dyDescent="0.35">
      <c r="G33" s="676" t="str">
        <f t="shared" si="1"/>
        <v xml:space="preserve">    s6   </v>
      </c>
      <c r="M33" s="97"/>
      <c r="N33" s="97"/>
    </row>
    <row r="34" spans="7:14" ht="22.5" customHeight="1" x14ac:dyDescent="0.35">
      <c r="G34" s="676" t="str">
        <f t="shared" si="1"/>
        <v xml:space="preserve">    s7   </v>
      </c>
      <c r="M34" s="97"/>
      <c r="N34" s="97"/>
    </row>
    <row r="35" spans="7:14" ht="22.5" customHeight="1" x14ac:dyDescent="0.35">
      <c r="G35" s="676" t="str">
        <f t="shared" si="1"/>
        <v xml:space="preserve">    s8   </v>
      </c>
      <c r="M35" s="97"/>
      <c r="N35" s="97"/>
    </row>
    <row r="36" spans="7:14" ht="22.5" customHeight="1" x14ac:dyDescent="0.35">
      <c r="G36" s="676" t="str">
        <f t="shared" si="1"/>
        <v xml:space="preserve">    s9   </v>
      </c>
      <c r="M36" s="97"/>
      <c r="N36" s="97"/>
    </row>
    <row r="37" spans="7:14" ht="22.5" customHeight="1" x14ac:dyDescent="0.35">
      <c r="G37" s="676" t="str">
        <f t="shared" si="1"/>
        <v xml:space="preserve">    s10   </v>
      </c>
      <c r="M37" s="97"/>
      <c r="N37" s="97"/>
    </row>
    <row r="38" spans="7:14" ht="22.5" customHeight="1" x14ac:dyDescent="0.35">
      <c r="G38" s="676" t="str">
        <f t="shared" si="1"/>
        <v xml:space="preserve">    s11   </v>
      </c>
      <c r="M38" s="97"/>
      <c r="N38" s="97"/>
    </row>
    <row r="39" spans="7:14" ht="22.5" customHeight="1" x14ac:dyDescent="0.35">
      <c r="G39" s="676" t="str">
        <f t="shared" si="1"/>
        <v xml:space="preserve">    s12   </v>
      </c>
      <c r="M39" s="97"/>
      <c r="N39" s="97"/>
    </row>
    <row r="40" spans="7:14" ht="22.5" customHeight="1" x14ac:dyDescent="0.35">
      <c r="G40" s="676" t="str">
        <f t="shared" si="1"/>
        <v xml:space="preserve">    s13   </v>
      </c>
      <c r="M40" s="97"/>
      <c r="N40" s="97"/>
    </row>
    <row r="41" spans="7:14" ht="22.5" customHeight="1" x14ac:dyDescent="0.35">
      <c r="G41" s="676" t="str">
        <f t="shared" si="1"/>
        <v xml:space="preserve">    s14   </v>
      </c>
      <c r="M41" s="97"/>
      <c r="N41" s="97"/>
    </row>
    <row r="42" spans="7:14" ht="22.5" customHeight="1" x14ac:dyDescent="0.35">
      <c r="G42" s="676" t="str">
        <f t="shared" si="1"/>
        <v xml:space="preserve">    s15   </v>
      </c>
      <c r="M42" s="97"/>
      <c r="N42" s="97"/>
    </row>
    <row r="43" spans="7:14" ht="22.5" customHeight="1" x14ac:dyDescent="0.35">
      <c r="G43" s="676" t="str">
        <f t="shared" si="1"/>
        <v xml:space="preserve">    s16   </v>
      </c>
      <c r="M43" s="97"/>
      <c r="N43" s="97"/>
    </row>
    <row r="44" spans="7:14" ht="22.5" customHeight="1" x14ac:dyDescent="0.35">
      <c r="G44" s="676" t="str">
        <f t="shared" si="1"/>
        <v xml:space="preserve">    s17   </v>
      </c>
      <c r="M44" s="97"/>
      <c r="N44" s="97"/>
    </row>
    <row r="45" spans="7:14" ht="22.5" customHeight="1" x14ac:dyDescent="0.35">
      <c r="G45" s="676" t="str">
        <f t="shared" si="1"/>
        <v xml:space="preserve">    s18   </v>
      </c>
      <c r="M45" s="97"/>
      <c r="N45" s="97"/>
    </row>
    <row r="46" spans="7:14" ht="22.5" customHeight="1" x14ac:dyDescent="0.35">
      <c r="G46" s="676" t="str">
        <f t="shared" si="1"/>
        <v xml:space="preserve">    s19   </v>
      </c>
      <c r="M46" s="97"/>
      <c r="N46" s="97"/>
    </row>
    <row r="47" spans="7:14" ht="22.5" customHeight="1" x14ac:dyDescent="0.35">
      <c r="G47" s="676" t="str">
        <f t="shared" si="1"/>
        <v xml:space="preserve">    s20   </v>
      </c>
      <c r="M47" s="97"/>
      <c r="N47" s="97"/>
    </row>
    <row r="48" spans="7:14" ht="22.5" customHeight="1" x14ac:dyDescent="0.3">
      <c r="M48" s="97"/>
      <c r="N48" s="97"/>
    </row>
    <row r="49" spans="1:14" ht="22.5" customHeight="1" x14ac:dyDescent="0.3">
      <c r="M49" s="97"/>
      <c r="N49" s="97"/>
    </row>
    <row r="50" spans="1:14" ht="0.9" customHeight="1" x14ac:dyDescent="0.3">
      <c r="A50" s="86"/>
      <c r="M50" s="97"/>
      <c r="N50" s="97"/>
    </row>
    <row r="51" spans="1:14" ht="22.5" customHeight="1" x14ac:dyDescent="0.3">
      <c r="B51" s="74"/>
      <c r="C51" s="97"/>
      <c r="M51" s="97"/>
      <c r="N51" s="97"/>
    </row>
    <row r="52" spans="1:14" ht="22.5" customHeight="1" x14ac:dyDescent="0.3">
      <c r="B52" s="677"/>
      <c r="M52" s="97"/>
      <c r="N52" s="97"/>
    </row>
    <row r="53" spans="1:14" ht="22.5" customHeight="1" x14ac:dyDescent="0.3">
      <c r="M53" s="97"/>
      <c r="N53" s="97"/>
    </row>
    <row r="54" spans="1:14" ht="22.5" customHeight="1" x14ac:dyDescent="0.3">
      <c r="M54" s="97"/>
      <c r="N54" s="97"/>
    </row>
    <row r="55" spans="1:14" ht="22.5" customHeight="1" x14ac:dyDescent="0.3">
      <c r="M55" s="97"/>
      <c r="N55" s="97"/>
    </row>
    <row r="56" spans="1:14" ht="22.5" customHeight="1" x14ac:dyDescent="0.3">
      <c r="M56" s="97"/>
      <c r="N56" s="97"/>
    </row>
    <row r="57" spans="1:14" ht="22.5" customHeight="1" x14ac:dyDescent="0.3">
      <c r="M57" s="97"/>
      <c r="N57" s="97"/>
    </row>
    <row r="58" spans="1:14" ht="22.5" customHeight="1" x14ac:dyDescent="0.3">
      <c r="M58" s="97"/>
      <c r="N58" s="97"/>
    </row>
    <row r="59" spans="1:14" ht="22.5" customHeight="1" x14ac:dyDescent="0.3">
      <c r="M59" s="97"/>
      <c r="N59" s="97"/>
    </row>
    <row r="60" spans="1:14" ht="22.5" customHeight="1" x14ac:dyDescent="0.3">
      <c r="M60" s="97"/>
      <c r="N60" s="97"/>
    </row>
    <row r="61" spans="1:14" ht="22.5" customHeight="1" x14ac:dyDescent="0.3">
      <c r="M61" s="97"/>
      <c r="N61" s="97"/>
    </row>
    <row r="62" spans="1:14" ht="22.5" customHeight="1" x14ac:dyDescent="0.3">
      <c r="M62" s="97"/>
      <c r="N62" s="97"/>
    </row>
    <row r="63" spans="1:14" ht="22.5" customHeight="1" x14ac:dyDescent="0.3">
      <c r="M63" s="97"/>
      <c r="N63" s="97"/>
    </row>
    <row r="64" spans="1:14" ht="22.5" customHeight="1" x14ac:dyDescent="0.3">
      <c r="M64" s="97"/>
      <c r="N64" s="97"/>
    </row>
    <row r="65" spans="1:14" ht="22.5" customHeight="1" x14ac:dyDescent="0.3">
      <c r="M65" s="97"/>
      <c r="N65" s="97"/>
    </row>
    <row r="66" spans="1:14" ht="22.5" customHeight="1" x14ac:dyDescent="0.3">
      <c r="M66" s="97"/>
      <c r="N66" s="97"/>
    </row>
    <row r="67" spans="1:14" ht="22.5" customHeight="1" x14ac:dyDescent="0.3">
      <c r="M67" s="97"/>
      <c r="N67" s="97"/>
    </row>
    <row r="68" spans="1:14" ht="22.5" customHeight="1" x14ac:dyDescent="0.3">
      <c r="M68" s="97"/>
      <c r="N68" s="97"/>
    </row>
    <row r="69" spans="1:14" ht="22.5" customHeight="1" x14ac:dyDescent="0.3">
      <c r="M69" s="97"/>
      <c r="N69" s="97"/>
    </row>
    <row r="70" spans="1:14" ht="22.5" customHeight="1" x14ac:dyDescent="0.3">
      <c r="M70" s="97"/>
      <c r="N70" s="97"/>
    </row>
    <row r="71" spans="1:14" ht="22.5" customHeight="1" x14ac:dyDescent="0.3">
      <c r="M71" s="97"/>
      <c r="N71" s="97"/>
    </row>
    <row r="72" spans="1:14" ht="22.5" customHeight="1" x14ac:dyDescent="0.3">
      <c r="M72" s="97"/>
      <c r="N72" s="97"/>
    </row>
    <row r="73" spans="1:14" ht="22.5" customHeight="1" x14ac:dyDescent="0.3">
      <c r="M73" s="97"/>
      <c r="N73" s="97"/>
    </row>
    <row r="74" spans="1:14" ht="22.5" customHeight="1" x14ac:dyDescent="0.3">
      <c r="M74" s="97"/>
      <c r="N74" s="97"/>
    </row>
    <row r="75" spans="1:14" ht="22.5" customHeight="1" x14ac:dyDescent="0.3">
      <c r="B75" s="678"/>
      <c r="M75" s="97"/>
      <c r="N75" s="97"/>
    </row>
    <row r="76" spans="1:14" ht="0.9" customHeight="1" x14ac:dyDescent="0.3">
      <c r="A76" s="86"/>
      <c r="M76" s="97"/>
      <c r="N76" s="97"/>
    </row>
    <row r="77" spans="1:14" ht="22.5" customHeight="1" x14ac:dyDescent="0.3">
      <c r="M77" s="97"/>
      <c r="N77" s="97"/>
    </row>
    <row r="78" spans="1:14" ht="22.5" customHeight="1" x14ac:dyDescent="0.3">
      <c r="M78" s="97"/>
      <c r="N78" s="97"/>
    </row>
    <row r="79" spans="1:14" ht="22.5" customHeight="1" x14ac:dyDescent="0.3">
      <c r="M79" s="97"/>
      <c r="N79" s="97"/>
    </row>
    <row r="80" spans="1:14" ht="22.5" customHeight="1" x14ac:dyDescent="0.3">
      <c r="M80" s="97"/>
      <c r="N80" s="97"/>
    </row>
    <row r="81" spans="13:14" ht="22.5" customHeight="1" x14ac:dyDescent="0.3">
      <c r="M81" s="97"/>
      <c r="N81" s="97"/>
    </row>
    <row r="82" spans="13:14" ht="22.5" customHeight="1" x14ac:dyDescent="0.3">
      <c r="M82" s="97"/>
      <c r="N82" s="97"/>
    </row>
    <row r="83" spans="13:14" ht="22.5" customHeight="1" x14ac:dyDescent="0.3">
      <c r="M83" s="97"/>
      <c r="N83" s="97"/>
    </row>
    <row r="84" spans="13:14" ht="22.5" customHeight="1" x14ac:dyDescent="0.3">
      <c r="M84" s="97"/>
      <c r="N84" s="97"/>
    </row>
    <row r="85" spans="13:14" ht="22.5" customHeight="1" x14ac:dyDescent="0.3">
      <c r="M85" s="97"/>
      <c r="N85" s="97"/>
    </row>
    <row r="86" spans="13:14" ht="22.5" customHeight="1" x14ac:dyDescent="0.3">
      <c r="M86" s="97"/>
      <c r="N86" s="97"/>
    </row>
    <row r="87" spans="13:14" ht="22.5" customHeight="1" x14ac:dyDescent="0.3">
      <c r="M87" s="97"/>
      <c r="N87" s="97"/>
    </row>
    <row r="88" spans="13:14" ht="22.5" customHeight="1" x14ac:dyDescent="0.3">
      <c r="M88" s="97"/>
      <c r="N88" s="97"/>
    </row>
    <row r="89" spans="13:14" ht="22.5" customHeight="1" x14ac:dyDescent="0.3">
      <c r="M89" s="97"/>
      <c r="N89" s="97"/>
    </row>
    <row r="90" spans="13:14" ht="22.5" customHeight="1" x14ac:dyDescent="0.3">
      <c r="M90" s="97"/>
      <c r="N90" s="97"/>
    </row>
    <row r="91" spans="13:14" ht="22.5" customHeight="1" x14ac:dyDescent="0.3">
      <c r="M91" s="97"/>
      <c r="N91" s="97"/>
    </row>
    <row r="92" spans="13:14" ht="22.5" customHeight="1" x14ac:dyDescent="0.3">
      <c r="M92" s="97"/>
      <c r="N92" s="97"/>
    </row>
    <row r="93" spans="13:14" ht="22.5" customHeight="1" x14ac:dyDescent="0.3">
      <c r="M93" s="97"/>
      <c r="N93" s="97"/>
    </row>
    <row r="94" spans="13:14" ht="22.5" customHeight="1" x14ac:dyDescent="0.3">
      <c r="M94" s="97"/>
      <c r="N94" s="97"/>
    </row>
    <row r="95" spans="13:14" ht="22.5" customHeight="1" x14ac:dyDescent="0.3">
      <c r="M95" s="97"/>
      <c r="N95" s="97"/>
    </row>
    <row r="96" spans="13:14" ht="22.5" customHeight="1" x14ac:dyDescent="0.3">
      <c r="M96" s="97"/>
      <c r="N96" s="97"/>
    </row>
    <row r="98" spans="4:14" x14ac:dyDescent="0.3">
      <c r="M98" s="97"/>
      <c r="N98" s="97"/>
    </row>
    <row r="99" spans="4:14" x14ac:dyDescent="0.3">
      <c r="M99" s="97"/>
      <c r="N99" s="97"/>
    </row>
    <row r="100" spans="4:14" x14ac:dyDescent="0.3">
      <c r="M100" s="97"/>
      <c r="N100" s="97"/>
    </row>
    <row r="101" spans="4:14" x14ac:dyDescent="0.3">
      <c r="M101" s="97"/>
      <c r="N101" s="97"/>
    </row>
    <row r="102" spans="4:14" x14ac:dyDescent="0.3">
      <c r="M102" s="97"/>
    </row>
    <row r="106" spans="4:14" ht="15.6" x14ac:dyDescent="0.3">
      <c r="F106" s="679"/>
      <c r="G106" s="679"/>
    </row>
    <row r="112" spans="4:14" x14ac:dyDescent="0.3">
      <c r="D112" s="664"/>
    </row>
    <row r="113" spans="4:4" x14ac:dyDescent="0.3">
      <c r="D113" s="97"/>
    </row>
    <row r="114" spans="4:4" x14ac:dyDescent="0.3">
      <c r="D114" s="97"/>
    </row>
    <row r="115" spans="4:4" x14ac:dyDescent="0.3">
      <c r="D115" s="97"/>
    </row>
    <row r="116" spans="4:4" x14ac:dyDescent="0.3">
      <c r="D116" s="97"/>
    </row>
    <row r="117" spans="4:4" x14ac:dyDescent="0.3">
      <c r="D117" s="97"/>
    </row>
    <row r="118" spans="4:4" x14ac:dyDescent="0.3">
      <c r="D118" s="97"/>
    </row>
    <row r="119" spans="4:4" x14ac:dyDescent="0.3">
      <c r="D119" s="97"/>
    </row>
    <row r="120" spans="4:4" x14ac:dyDescent="0.3">
      <c r="D120" s="97"/>
    </row>
    <row r="121" spans="4:4" x14ac:dyDescent="0.3">
      <c r="D121" s="97"/>
    </row>
    <row r="122" spans="4:4" x14ac:dyDescent="0.3">
      <c r="D122" s="97"/>
    </row>
    <row r="123" spans="4:4" x14ac:dyDescent="0.3">
      <c r="D123" s="97"/>
    </row>
    <row r="124" spans="4:4" x14ac:dyDescent="0.3">
      <c r="D124" s="97"/>
    </row>
    <row r="125" spans="4:4" x14ac:dyDescent="0.3">
      <c r="D125" s="97"/>
    </row>
    <row r="126" spans="4:4" x14ac:dyDescent="0.3">
      <c r="D126" s="97"/>
    </row>
    <row r="127" spans="4:4" x14ac:dyDescent="0.3">
      <c r="D127" s="97"/>
    </row>
    <row r="128" spans="4:4" x14ac:dyDescent="0.3">
      <c r="D128" s="97"/>
    </row>
    <row r="129" spans="4:4" x14ac:dyDescent="0.3">
      <c r="D129" s="97"/>
    </row>
    <row r="130" spans="4:4" x14ac:dyDescent="0.3">
      <c r="D130" s="97"/>
    </row>
    <row r="131" spans="4:4" x14ac:dyDescent="0.3">
      <c r="D131" s="97"/>
    </row>
  </sheetData>
  <sheetProtection sheet="1" objects="1" scenarios="1" formatCells="0" formatColumns="0" formatRows="0" insertHyperlinks="0" selectLockedCells="1" sort="0" autoFilter="0"/>
  <conditionalFormatting sqref="B5:I24">
    <cfRule type="expression" dxfId="98" priority="5">
      <formula>MOD(ROW(A1),2)=0</formula>
    </cfRule>
    <cfRule type="expression" dxfId="97" priority="6">
      <formula>MOD(ROW(A2),2)=0</formula>
    </cfRule>
  </conditionalFormatting>
  <conditionalFormatting sqref="D5:D24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:E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D5:E24 D26:E96" xr:uid="{00000000-0002-0000-0C00-000000000000}">
      <formula1>"1,2,3,4,5,6,7,8,9,10"</formula1>
    </dataValidation>
    <dataValidation type="list" allowBlank="1" showInputMessage="1" showErrorMessage="1" sqref="I5:I24 G5:G24 I81:I96 G26:G27 G48:G96" xr:uid="{00000000-0002-0000-0C00-000001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scale="96" orientation="portrait" r:id="rId1"/>
  <headerFooter>
    <oddFooter>&amp;L&amp;8&amp;K00-048(c) S.Imboden&amp;R&amp;8&amp;K00-048Seite &amp;P von &amp;N</oddFooter>
  </headerFooter>
  <rowBreaks count="1" manualBreakCount="1">
    <brk id="25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9B7F554B-B9BE-4BA9-BA8D-2D3E14E8D343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D26:D96</xm:sqref>
        </x14:conditionalFormatting>
        <x14:conditionalFormatting xmlns:xm="http://schemas.microsoft.com/office/excel/2006/main">
          <x14:cfRule type="iconSet" priority="7" id="{EDF49B55-724E-43A8-8E5E-F6CB5A1902D9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D98:D5191 D25</xm:sqref>
        </x14:conditionalFormatting>
        <x14:conditionalFormatting xmlns:xm="http://schemas.microsoft.com/office/excel/2006/main">
          <x14:cfRule type="iconSet" priority="2" id="{17B41FCB-F5FD-4CB7-80BE-8BEBEA64E13E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G5:G24</xm:sqref>
        </x14:conditionalFormatting>
        <x14:conditionalFormatting xmlns:xm="http://schemas.microsoft.com/office/excel/2006/main">
          <x14:cfRule type="iconSet" priority="3" id="{189E43A5-34F0-46B3-BC2E-71F2DE0F0E27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I5:I24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0" tint="-0.499984740745262"/>
    <pageSetUpPr fitToPage="1"/>
  </sheetPr>
  <dimension ref="A1:G57"/>
  <sheetViews>
    <sheetView showGridLines="0" zoomScaleNormal="100" workbookViewId="0">
      <pane ySplit="4" topLeftCell="A5" activePane="bottomLeft" state="frozen"/>
      <selection activeCell="N13" sqref="N13"/>
      <selection pane="bottomLeft" activeCell="C5" sqref="C5"/>
    </sheetView>
  </sheetViews>
  <sheetFormatPr baseColWidth="10" defaultColWidth="11.44140625" defaultRowHeight="14.4" x14ac:dyDescent="0.3"/>
  <cols>
    <col min="1" max="1" width="7" style="110" customWidth="1"/>
    <col min="2" max="2" width="8.88671875" style="66" customWidth="1"/>
    <col min="3" max="3" width="26.44140625" style="66" customWidth="1"/>
    <col min="4" max="4" width="12.5546875" style="66" bestFit="1" customWidth="1"/>
    <col min="5" max="5" width="51.109375" style="179" customWidth="1"/>
    <col min="6" max="6" width="11.33203125" style="179" bestFit="1" customWidth="1"/>
    <col min="7" max="7" width="7.44140625" style="488" customWidth="1"/>
    <col min="8" max="249" width="9.109375" style="66" customWidth="1"/>
    <col min="250" max="16384" width="11.44140625" style="66"/>
  </cols>
  <sheetData>
    <row r="1" spans="1:7" s="109" customFormat="1" ht="45" customHeight="1" x14ac:dyDescent="0.3">
      <c r="A1" s="166"/>
      <c r="B1" s="103" t="str">
        <f ca="1">' '!A65</f>
        <v>A N P A S S U N G   D E R   S T R U K T U R E N</v>
      </c>
      <c r="C1" s="103"/>
      <c r="D1" s="103"/>
      <c r="E1" s="167"/>
      <c r="F1" s="167"/>
      <c r="G1" s="122"/>
    </row>
    <row r="2" spans="1:7" s="170" customFormat="1" ht="14.25" customHeight="1" x14ac:dyDescent="0.3">
      <c r="B2" s="487"/>
      <c r="C2" s="487"/>
      <c r="D2" s="487"/>
      <c r="E2" s="487"/>
      <c r="G2" s="110"/>
    </row>
    <row r="3" spans="1:7" s="174" customFormat="1" ht="10.5" customHeight="1" x14ac:dyDescent="0.3">
      <c r="A3" s="170"/>
      <c r="B3" s="173"/>
      <c r="D3" s="170"/>
      <c r="G3" s="488"/>
    </row>
    <row r="4" spans="1:7" ht="33" customHeight="1" x14ac:dyDescent="0.3">
      <c r="B4" s="176" t="str">
        <f ca="1">' '!A299</f>
        <v>Ranking</v>
      </c>
      <c r="C4" s="177" t="str">
        <f ca="1">' '!A66</f>
        <v>Bezeichnung</v>
      </c>
      <c r="D4" s="177" t="str">
        <f ca="1">' '!A70</f>
        <v>Mitarbeiter- Nutzen</v>
      </c>
      <c r="E4" s="177" t="str">
        <f ca="1">' '!A67</f>
        <v>Anpassungen</v>
      </c>
      <c r="F4" s="177" t="str">
        <f ca="1">' '!A69</f>
        <v>Datum</v>
      </c>
      <c r="G4" s="178" t="str">
        <f ca="1">' '!A64</f>
        <v>Status</v>
      </c>
    </row>
    <row r="5" spans="1:7" s="186" customFormat="1" ht="23.4" x14ac:dyDescent="0.3">
      <c r="A5" s="110"/>
      <c r="B5" s="489">
        <f>IF(D5="","",RANK(D5,D$5:D$24)+COUNTIF(D$5:D5,D5)-1)</f>
        <v>2</v>
      </c>
      <c r="C5" s="490" t="s">
        <v>1455</v>
      </c>
      <c r="D5" s="491">
        <v>7</v>
      </c>
      <c r="E5" s="490"/>
      <c r="F5" s="492">
        <v>41640</v>
      </c>
      <c r="G5" s="270">
        <v>2</v>
      </c>
    </row>
    <row r="6" spans="1:7" s="186" customFormat="1" ht="23.4" x14ac:dyDescent="0.3">
      <c r="A6" s="110"/>
      <c r="B6" s="489">
        <f>IF(D6="","",RANK(D6,D$5:D$24)+COUNTIF(D$5:D6,D6)-1)</f>
        <v>4</v>
      </c>
      <c r="C6" s="490" t="s">
        <v>1458</v>
      </c>
      <c r="D6" s="491">
        <v>6</v>
      </c>
      <c r="E6" s="490"/>
      <c r="F6" s="492"/>
      <c r="G6" s="267"/>
    </row>
    <row r="7" spans="1:7" s="186" customFormat="1" ht="23.4" x14ac:dyDescent="0.3">
      <c r="A7" s="110"/>
      <c r="B7" s="489">
        <f>IF(D7="","",RANK(D7,D$5:D$24)+COUNTIF(D$5:D7,D7)-1)</f>
        <v>5</v>
      </c>
      <c r="C7" s="490" t="s">
        <v>1456</v>
      </c>
      <c r="D7" s="491">
        <v>5</v>
      </c>
      <c r="E7" s="490"/>
      <c r="F7" s="492"/>
      <c r="G7" s="270"/>
    </row>
    <row r="8" spans="1:7" s="186" customFormat="1" ht="23.4" x14ac:dyDescent="0.3">
      <c r="A8" s="110"/>
      <c r="B8" s="489">
        <f>IF(D8="","",RANK(D8,D$5:D$24)+COUNTIF(D$5:D8,D8)-1)</f>
        <v>1</v>
      </c>
      <c r="C8" s="490" t="s">
        <v>1457</v>
      </c>
      <c r="D8" s="491">
        <v>8</v>
      </c>
      <c r="E8" s="490"/>
      <c r="F8" s="492"/>
      <c r="G8" s="267"/>
    </row>
    <row r="9" spans="1:7" s="186" customFormat="1" ht="23.4" x14ac:dyDescent="0.3">
      <c r="A9" s="110"/>
      <c r="B9" s="489">
        <f>IF(D9="","",RANK(D9,D$5:D$24)+COUNTIF(D$5:D9,D9)-1)</f>
        <v>6</v>
      </c>
      <c r="C9" s="490" t="s">
        <v>1459</v>
      </c>
      <c r="D9" s="491">
        <v>3</v>
      </c>
      <c r="E9" s="490"/>
      <c r="F9" s="492"/>
      <c r="G9" s="270"/>
    </row>
    <row r="10" spans="1:7" s="186" customFormat="1" ht="23.4" x14ac:dyDescent="0.3">
      <c r="A10" s="110"/>
      <c r="B10" s="489">
        <f>IF(D10="","",RANK(D10,D$5:D$24)+COUNTIF(D$5:D10,D10)-1)</f>
        <v>3</v>
      </c>
      <c r="C10" s="490" t="s">
        <v>1460</v>
      </c>
      <c r="D10" s="491">
        <v>7</v>
      </c>
      <c r="E10" s="490"/>
      <c r="F10" s="492"/>
      <c r="G10" s="267"/>
    </row>
    <row r="11" spans="1:7" s="186" customFormat="1" ht="23.4" x14ac:dyDescent="0.3">
      <c r="A11" s="110"/>
      <c r="B11" s="489" t="str">
        <f>IF(D11="","",RANK(D11,D$5:D$24)+COUNTIF(D$5:D11,D11)-1)</f>
        <v/>
      </c>
      <c r="C11" s="490"/>
      <c r="D11" s="491"/>
      <c r="E11" s="490"/>
      <c r="F11" s="492"/>
      <c r="G11" s="270"/>
    </row>
    <row r="12" spans="1:7" s="186" customFormat="1" ht="23.4" x14ac:dyDescent="0.3">
      <c r="A12" s="110"/>
      <c r="B12" s="489" t="str">
        <f>IF(D12="","",RANK(D12,D$5:D$24)+COUNTIF(D$5:D12,D12)-1)</f>
        <v/>
      </c>
      <c r="C12" s="490"/>
      <c r="D12" s="491"/>
      <c r="E12" s="490"/>
      <c r="F12" s="492"/>
      <c r="G12" s="267"/>
    </row>
    <row r="13" spans="1:7" s="186" customFormat="1" ht="23.4" x14ac:dyDescent="0.3">
      <c r="A13" s="110"/>
      <c r="B13" s="489" t="str">
        <f>IF(D13="","",RANK(D13,D$5:D$24)+COUNTIF(D$5:D13,D13)-1)</f>
        <v/>
      </c>
      <c r="C13" s="490"/>
      <c r="D13" s="491"/>
      <c r="E13" s="490"/>
      <c r="F13" s="492"/>
      <c r="G13" s="270"/>
    </row>
    <row r="14" spans="1:7" s="186" customFormat="1" ht="23.4" x14ac:dyDescent="0.3">
      <c r="A14" s="110"/>
      <c r="B14" s="489" t="str">
        <f>IF(D14="","",RANK(D14,D$5:D$24)+COUNTIF(D$5:D14,D14)-1)</f>
        <v/>
      </c>
      <c r="C14" s="490"/>
      <c r="D14" s="491"/>
      <c r="E14" s="490"/>
      <c r="F14" s="492"/>
      <c r="G14" s="267"/>
    </row>
    <row r="15" spans="1:7" s="186" customFormat="1" ht="23.4" x14ac:dyDescent="0.3">
      <c r="A15" s="110"/>
      <c r="B15" s="489" t="str">
        <f>IF(D15="","",RANK(D15,D$5:D$24)+COUNTIF(D$5:D15,D15)-1)</f>
        <v/>
      </c>
      <c r="C15" s="490"/>
      <c r="D15" s="491"/>
      <c r="E15" s="490"/>
      <c r="F15" s="492"/>
      <c r="G15" s="270"/>
    </row>
    <row r="16" spans="1:7" s="186" customFormat="1" ht="23.4" x14ac:dyDescent="0.3">
      <c r="A16" s="110"/>
      <c r="B16" s="489" t="str">
        <f>IF(D16="","",RANK(D16,D$5:D$24)+COUNTIF(D$5:D16,D16)-1)</f>
        <v/>
      </c>
      <c r="C16" s="490"/>
      <c r="D16" s="491"/>
      <c r="E16" s="490"/>
      <c r="F16" s="492"/>
      <c r="G16" s="267"/>
    </row>
    <row r="17" spans="1:7" s="186" customFormat="1" ht="23.4" x14ac:dyDescent="0.3">
      <c r="A17" s="110"/>
      <c r="B17" s="489" t="str">
        <f>IF(D17="","",RANK(D17,D$5:D$24)+COUNTIF(D$5:D17,D17)-1)</f>
        <v/>
      </c>
      <c r="C17" s="490"/>
      <c r="D17" s="491"/>
      <c r="E17" s="490"/>
      <c r="F17" s="492"/>
      <c r="G17" s="267"/>
    </row>
    <row r="18" spans="1:7" s="186" customFormat="1" ht="23.4" x14ac:dyDescent="0.3">
      <c r="A18" s="110"/>
      <c r="B18" s="489" t="str">
        <f>IF(D18="","",RANK(D18,D$5:D$24)+COUNTIF(D$5:D18,D18)-1)</f>
        <v/>
      </c>
      <c r="C18" s="490"/>
      <c r="D18" s="491"/>
      <c r="E18" s="490"/>
      <c r="F18" s="492"/>
      <c r="G18" s="270"/>
    </row>
    <row r="19" spans="1:7" s="186" customFormat="1" ht="23.4" x14ac:dyDescent="0.3">
      <c r="A19" s="110"/>
      <c r="B19" s="489" t="str">
        <f>IF(D19="","",RANK(D19,D$5:D$24)+COUNTIF(D$5:D19,D19)-1)</f>
        <v/>
      </c>
      <c r="C19" s="490"/>
      <c r="D19" s="491"/>
      <c r="E19" s="490"/>
      <c r="F19" s="492"/>
      <c r="G19" s="267"/>
    </row>
    <row r="20" spans="1:7" s="186" customFormat="1" ht="23.4" x14ac:dyDescent="0.3">
      <c r="A20" s="110"/>
      <c r="B20" s="489" t="str">
        <f>IF(D20="","",RANK(D20,D$5:D$24)+COUNTIF(D$5:D20,D20)-1)</f>
        <v/>
      </c>
      <c r="C20" s="490"/>
      <c r="D20" s="491"/>
      <c r="E20" s="490"/>
      <c r="F20" s="492"/>
      <c r="G20" s="270"/>
    </row>
    <row r="21" spans="1:7" s="186" customFormat="1" ht="23.4" x14ac:dyDescent="0.3">
      <c r="A21" s="110"/>
      <c r="B21" s="489" t="str">
        <f>IF(D21="","",RANK(D21,D$5:D$24)+COUNTIF(D$5:D21,D21)-1)</f>
        <v/>
      </c>
      <c r="C21" s="490"/>
      <c r="D21" s="491"/>
      <c r="E21" s="490"/>
      <c r="F21" s="492"/>
      <c r="G21" s="267"/>
    </row>
    <row r="22" spans="1:7" s="186" customFormat="1" ht="23.4" x14ac:dyDescent="0.3">
      <c r="A22" s="110"/>
      <c r="B22" s="489" t="str">
        <f>IF(D22="","",RANK(D22,D$5:D$24)+COUNTIF(D$5:D22,D22)-1)</f>
        <v/>
      </c>
      <c r="C22" s="490"/>
      <c r="D22" s="491"/>
      <c r="E22" s="490"/>
      <c r="F22" s="492"/>
      <c r="G22" s="267"/>
    </row>
    <row r="23" spans="1:7" s="186" customFormat="1" ht="23.4" x14ac:dyDescent="0.3">
      <c r="A23" s="110"/>
      <c r="B23" s="489" t="str">
        <f>IF(D23="","",RANK(D23,D$5:D$24)+COUNTIF(D$5:D23,D23)-1)</f>
        <v/>
      </c>
      <c r="C23" s="490"/>
      <c r="D23" s="491"/>
      <c r="E23" s="490"/>
      <c r="F23" s="492"/>
      <c r="G23" s="270"/>
    </row>
    <row r="24" spans="1:7" s="186" customFormat="1" ht="23.4" x14ac:dyDescent="0.3">
      <c r="A24" s="110"/>
      <c r="B24" s="493" t="str">
        <f>IF(D24="","",RANK(D24,D$5:D$24)+COUNTIF(D$5:D24,D24)-1)</f>
        <v/>
      </c>
      <c r="C24" s="494"/>
      <c r="D24" s="495"/>
      <c r="E24" s="494"/>
      <c r="F24" s="496"/>
      <c r="G24" s="497"/>
    </row>
    <row r="25" spans="1:7" x14ac:dyDescent="0.3">
      <c r="A25" s="170"/>
      <c r="B25" s="74" t="s">
        <v>2103</v>
      </c>
      <c r="E25" s="66"/>
      <c r="F25" s="66"/>
    </row>
    <row r="26" spans="1:7" x14ac:dyDescent="0.3">
      <c r="A26" s="170"/>
      <c r="E26" s="66"/>
      <c r="F26" s="66"/>
    </row>
    <row r="27" spans="1:7" x14ac:dyDescent="0.3">
      <c r="A27" s="170"/>
      <c r="E27" s="66"/>
      <c r="F27" s="66"/>
    </row>
    <row r="28" spans="1:7" x14ac:dyDescent="0.3">
      <c r="A28" s="170"/>
      <c r="B28" s="179" t="s">
        <v>0</v>
      </c>
      <c r="C28" s="179" t="s">
        <v>1</v>
      </c>
      <c r="D28" s="179" t="s">
        <v>2</v>
      </c>
      <c r="E28" s="180" t="s">
        <v>3</v>
      </c>
      <c r="F28" s="498"/>
    </row>
    <row r="29" spans="1:7" x14ac:dyDescent="0.3">
      <c r="A29" s="170"/>
      <c r="B29" s="184" t="str">
        <f t="shared" ref="B29:B48" si="0">IF(D5="","",INDEX($B$5:$D$24,MATCH(D29,$B$5:$B$24,0),2))</f>
        <v>Verantwortlichkeiten</v>
      </c>
      <c r="C29" s="184">
        <f t="shared" ref="C29:C48" si="1">IF(D5="","",INDEX($B$5:$D$24,MATCH(D29,$B$5:$B$24,0),3))</f>
        <v>8</v>
      </c>
      <c r="D29" s="184">
        <v>1</v>
      </c>
      <c r="E29" s="185">
        <f>IF(C29="","",C29/SUM($C$29:$C$48))</f>
        <v>0.22222222222222221</v>
      </c>
      <c r="F29" s="499"/>
    </row>
    <row r="30" spans="1:7" x14ac:dyDescent="0.3">
      <c r="A30" s="170"/>
      <c r="B30" s="184" t="str">
        <f t="shared" si="0"/>
        <v>Stellenbeschrieb</v>
      </c>
      <c r="C30" s="184">
        <f t="shared" si="1"/>
        <v>7</v>
      </c>
      <c r="D30" s="184">
        <v>2</v>
      </c>
      <c r="E30" s="185">
        <f t="shared" ref="E30:E48" si="2">IF(C30="","",(C30/SUM($C$29:$C$48)+E29))</f>
        <v>0.41666666666666663</v>
      </c>
      <c r="F30" s="499"/>
    </row>
    <row r="31" spans="1:7" x14ac:dyDescent="0.3">
      <c r="A31" s="170"/>
      <c r="B31" s="184" t="str">
        <f t="shared" si="0"/>
        <v>Knowledge Management</v>
      </c>
      <c r="C31" s="184">
        <f t="shared" si="1"/>
        <v>7</v>
      </c>
      <c r="D31" s="184">
        <v>3</v>
      </c>
      <c r="E31" s="185">
        <f t="shared" si="2"/>
        <v>0.61111111111111105</v>
      </c>
      <c r="F31" s="499"/>
    </row>
    <row r="32" spans="1:7" x14ac:dyDescent="0.3">
      <c r="A32" s="170"/>
      <c r="B32" s="184" t="str">
        <f t="shared" si="0"/>
        <v>Vision &amp; Strategie</v>
      </c>
      <c r="C32" s="184">
        <f t="shared" si="1"/>
        <v>6</v>
      </c>
      <c r="D32" s="184">
        <v>4</v>
      </c>
      <c r="E32" s="185">
        <f t="shared" si="2"/>
        <v>0.77777777777777768</v>
      </c>
      <c r="F32" s="499"/>
    </row>
    <row r="33" spans="1:6" x14ac:dyDescent="0.3">
      <c r="A33" s="170"/>
      <c r="B33" s="184" t="str">
        <f t="shared" si="0"/>
        <v>Organigramm</v>
      </c>
      <c r="C33" s="184">
        <f t="shared" si="1"/>
        <v>5</v>
      </c>
      <c r="D33" s="184">
        <v>5</v>
      </c>
      <c r="E33" s="185">
        <f t="shared" si="2"/>
        <v>0.91666666666666652</v>
      </c>
      <c r="F33" s="499"/>
    </row>
    <row r="34" spans="1:6" x14ac:dyDescent="0.3">
      <c r="A34" s="170"/>
      <c r="B34" s="184" t="str">
        <f t="shared" si="0"/>
        <v>Kommunikation</v>
      </c>
      <c r="C34" s="184">
        <f t="shared" si="1"/>
        <v>3</v>
      </c>
      <c r="D34" s="184">
        <v>6</v>
      </c>
      <c r="E34" s="185">
        <f t="shared" si="2"/>
        <v>0.99999999999999989</v>
      </c>
      <c r="F34" s="499"/>
    </row>
    <row r="35" spans="1:6" x14ac:dyDescent="0.3">
      <c r="A35" s="170"/>
      <c r="B35" s="184" t="str">
        <f t="shared" si="0"/>
        <v/>
      </c>
      <c r="C35" s="184" t="str">
        <f t="shared" si="1"/>
        <v/>
      </c>
      <c r="D35" s="184">
        <v>7</v>
      </c>
      <c r="E35" s="185" t="str">
        <f t="shared" si="2"/>
        <v/>
      </c>
      <c r="F35" s="499"/>
    </row>
    <row r="36" spans="1:6" x14ac:dyDescent="0.3">
      <c r="A36" s="170"/>
      <c r="B36" s="184" t="str">
        <f t="shared" si="0"/>
        <v/>
      </c>
      <c r="C36" s="184" t="str">
        <f t="shared" si="1"/>
        <v/>
      </c>
      <c r="D36" s="184">
        <v>8</v>
      </c>
      <c r="E36" s="185" t="str">
        <f t="shared" si="2"/>
        <v/>
      </c>
      <c r="F36" s="499"/>
    </row>
    <row r="37" spans="1:6" x14ac:dyDescent="0.3">
      <c r="A37" s="170"/>
      <c r="B37" s="184" t="str">
        <f t="shared" si="0"/>
        <v/>
      </c>
      <c r="C37" s="184" t="str">
        <f t="shared" si="1"/>
        <v/>
      </c>
      <c r="D37" s="184">
        <v>9</v>
      </c>
      <c r="E37" s="185" t="str">
        <f t="shared" si="2"/>
        <v/>
      </c>
      <c r="F37" s="499"/>
    </row>
    <row r="38" spans="1:6" x14ac:dyDescent="0.3">
      <c r="A38" s="170"/>
      <c r="B38" s="184" t="str">
        <f t="shared" si="0"/>
        <v/>
      </c>
      <c r="C38" s="184" t="str">
        <f t="shared" si="1"/>
        <v/>
      </c>
      <c r="D38" s="184">
        <v>10</v>
      </c>
      <c r="E38" s="185" t="str">
        <f t="shared" si="2"/>
        <v/>
      </c>
      <c r="F38" s="499"/>
    </row>
    <row r="39" spans="1:6" x14ac:dyDescent="0.3">
      <c r="A39" s="170"/>
      <c r="B39" s="184" t="str">
        <f t="shared" si="0"/>
        <v/>
      </c>
      <c r="C39" s="184" t="str">
        <f t="shared" si="1"/>
        <v/>
      </c>
      <c r="D39" s="184">
        <v>11</v>
      </c>
      <c r="E39" s="185" t="str">
        <f t="shared" si="2"/>
        <v/>
      </c>
      <c r="F39" s="499"/>
    </row>
    <row r="40" spans="1:6" x14ac:dyDescent="0.3">
      <c r="A40" s="170"/>
      <c r="B40" s="184" t="str">
        <f t="shared" si="0"/>
        <v/>
      </c>
      <c r="C40" s="184" t="str">
        <f t="shared" si="1"/>
        <v/>
      </c>
      <c r="D40" s="184">
        <v>12</v>
      </c>
      <c r="E40" s="185" t="str">
        <f t="shared" si="2"/>
        <v/>
      </c>
      <c r="F40" s="499"/>
    </row>
    <row r="41" spans="1:6" x14ac:dyDescent="0.3">
      <c r="A41" s="170"/>
      <c r="B41" s="184" t="str">
        <f t="shared" si="0"/>
        <v/>
      </c>
      <c r="C41" s="184" t="str">
        <f t="shared" si="1"/>
        <v/>
      </c>
      <c r="D41" s="184">
        <v>13</v>
      </c>
      <c r="E41" s="185" t="str">
        <f t="shared" si="2"/>
        <v/>
      </c>
      <c r="F41" s="499"/>
    </row>
    <row r="42" spans="1:6" x14ac:dyDescent="0.3">
      <c r="A42" s="170"/>
      <c r="B42" s="184" t="str">
        <f t="shared" si="0"/>
        <v/>
      </c>
      <c r="C42" s="184" t="str">
        <f t="shared" si="1"/>
        <v/>
      </c>
      <c r="D42" s="184">
        <v>14</v>
      </c>
      <c r="E42" s="185" t="str">
        <f t="shared" si="2"/>
        <v/>
      </c>
      <c r="F42" s="499"/>
    </row>
    <row r="43" spans="1:6" x14ac:dyDescent="0.3">
      <c r="A43" s="170"/>
      <c r="B43" s="184" t="str">
        <f t="shared" si="0"/>
        <v/>
      </c>
      <c r="C43" s="184" t="str">
        <f t="shared" si="1"/>
        <v/>
      </c>
      <c r="D43" s="184">
        <v>15</v>
      </c>
      <c r="E43" s="185" t="str">
        <f t="shared" si="2"/>
        <v/>
      </c>
      <c r="F43" s="499"/>
    </row>
    <row r="44" spans="1:6" x14ac:dyDescent="0.3">
      <c r="A44" s="170"/>
      <c r="B44" s="184" t="str">
        <f t="shared" si="0"/>
        <v/>
      </c>
      <c r="C44" s="184" t="str">
        <f t="shared" si="1"/>
        <v/>
      </c>
      <c r="D44" s="184">
        <v>16</v>
      </c>
      <c r="E44" s="185" t="str">
        <f t="shared" si="2"/>
        <v/>
      </c>
      <c r="F44" s="499"/>
    </row>
    <row r="45" spans="1:6" x14ac:dyDescent="0.3">
      <c r="A45" s="170"/>
      <c r="B45" s="184" t="str">
        <f t="shared" si="0"/>
        <v/>
      </c>
      <c r="C45" s="184" t="str">
        <f t="shared" si="1"/>
        <v/>
      </c>
      <c r="D45" s="184">
        <v>17</v>
      </c>
      <c r="E45" s="185" t="str">
        <f t="shared" si="2"/>
        <v/>
      </c>
      <c r="F45" s="499"/>
    </row>
    <row r="46" spans="1:6" x14ac:dyDescent="0.3">
      <c r="A46" s="170"/>
      <c r="B46" s="184" t="str">
        <f t="shared" si="0"/>
        <v/>
      </c>
      <c r="C46" s="184" t="str">
        <f t="shared" si="1"/>
        <v/>
      </c>
      <c r="D46" s="184">
        <v>18</v>
      </c>
      <c r="E46" s="185" t="str">
        <f t="shared" si="2"/>
        <v/>
      </c>
      <c r="F46" s="499"/>
    </row>
    <row r="47" spans="1:6" x14ac:dyDescent="0.3">
      <c r="A47" s="170"/>
      <c r="B47" s="184" t="str">
        <f t="shared" si="0"/>
        <v/>
      </c>
      <c r="C47" s="184" t="str">
        <f t="shared" si="1"/>
        <v/>
      </c>
      <c r="D47" s="184">
        <v>19</v>
      </c>
      <c r="E47" s="185" t="str">
        <f t="shared" si="2"/>
        <v/>
      </c>
      <c r="F47" s="499"/>
    </row>
    <row r="48" spans="1:6" x14ac:dyDescent="0.3">
      <c r="A48" s="170"/>
      <c r="B48" s="184" t="str">
        <f t="shared" si="0"/>
        <v/>
      </c>
      <c r="C48" s="184" t="str">
        <f t="shared" si="1"/>
        <v/>
      </c>
      <c r="D48" s="184">
        <v>20</v>
      </c>
      <c r="E48" s="185" t="str">
        <f t="shared" si="2"/>
        <v/>
      </c>
      <c r="F48" s="499"/>
    </row>
    <row r="49" spans="1:6" x14ac:dyDescent="0.3">
      <c r="A49" s="170"/>
      <c r="E49" s="66"/>
      <c r="F49" s="66"/>
    </row>
    <row r="50" spans="1:6" x14ac:dyDescent="0.3">
      <c r="A50" s="170"/>
      <c r="E50" s="66"/>
      <c r="F50" s="66"/>
    </row>
    <row r="51" spans="1:6" x14ac:dyDescent="0.3">
      <c r="A51" s="170"/>
      <c r="E51" s="66"/>
      <c r="F51" s="66"/>
    </row>
    <row r="52" spans="1:6" x14ac:dyDescent="0.3">
      <c r="A52" s="170"/>
      <c r="E52" s="66"/>
      <c r="F52" s="66"/>
    </row>
    <row r="53" spans="1:6" x14ac:dyDescent="0.3">
      <c r="A53" s="170"/>
      <c r="E53" s="66"/>
      <c r="F53" s="66"/>
    </row>
    <row r="54" spans="1:6" x14ac:dyDescent="0.3">
      <c r="A54" s="170"/>
      <c r="E54" s="66"/>
      <c r="F54" s="66"/>
    </row>
    <row r="55" spans="1:6" x14ac:dyDescent="0.3">
      <c r="A55" s="170"/>
      <c r="E55" s="66"/>
      <c r="F55" s="66"/>
    </row>
    <row r="56" spans="1:6" x14ac:dyDescent="0.3">
      <c r="B56" s="500"/>
    </row>
    <row r="57" spans="1:6" ht="0.9" customHeight="1" x14ac:dyDescent="0.3">
      <c r="A57" s="277"/>
    </row>
  </sheetData>
  <sheetProtection sheet="1" objects="1" scenarios="1" formatCells="0" formatColumns="0" formatRows="0" insertHyperlinks="0" selectLockedCells="1" sort="0" autoFilter="0"/>
  <conditionalFormatting sqref="B5:G24">
    <cfRule type="expression" dxfId="96" priority="2">
      <formula>MOD(ROW(XFC1048559),2)=0</formula>
    </cfRule>
    <cfRule type="expression" dxfId="95" priority="3">
      <formula>MOD(ROW(XFC1048560),2)=0</formula>
    </cfRule>
  </conditionalFormatting>
  <conditionalFormatting sqref="D5:D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D5:D24" xr:uid="{00000000-0002-0000-0D00-000000000000}">
      <formula1>"1,2,3,4,5,6,7,8,9,10"</formula1>
    </dataValidation>
    <dataValidation type="list" allowBlank="1" showInputMessage="1" showErrorMessage="1" sqref="G5:G21" xr:uid="{00000000-0002-0000-0D00-000001000000}">
      <formula1>"1,2,3"</formula1>
    </dataValidation>
  </dataValidations>
  <printOptions horizontalCentered="1"/>
  <pageMargins left="0.25" right="0.25" top="0.75" bottom="0.75" header="0.3" footer="0.3"/>
  <pageSetup paperSize="8" orientation="portrait" horizontalDpi="1200" verticalDpi="1200" r:id="rId1"/>
  <headerFooter alignWithMargins="0">
    <oddFooter>&amp;L&amp;8&amp;K00-049(c)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1" id="{EC59E440-726F-4A13-ADE4-40BE243FEBBD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G5:G24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0" tint="-0.499984740745262"/>
    <pageSetUpPr fitToPage="1"/>
  </sheetPr>
  <dimension ref="A1:G57"/>
  <sheetViews>
    <sheetView showGridLines="0" zoomScaleNormal="100" workbookViewId="0">
      <pane ySplit="4" topLeftCell="A5" activePane="bottomLeft" state="frozen"/>
      <selection activeCell="N13" sqref="N13"/>
      <selection pane="bottomLeft" activeCell="C5" sqref="C5"/>
    </sheetView>
  </sheetViews>
  <sheetFormatPr baseColWidth="10" defaultColWidth="11.44140625" defaultRowHeight="14.4" x14ac:dyDescent="0.3"/>
  <cols>
    <col min="1" max="1" width="7" style="110" customWidth="1"/>
    <col min="2" max="2" width="8.88671875" style="66" customWidth="1"/>
    <col min="3" max="3" width="26.44140625" style="66" customWidth="1"/>
    <col min="4" max="4" width="12.5546875" style="66" bestFit="1" customWidth="1"/>
    <col min="5" max="5" width="51.109375" style="179" customWidth="1"/>
    <col min="6" max="6" width="11.33203125" style="179" bestFit="1" customWidth="1"/>
    <col min="7" max="7" width="7.44140625" style="488" customWidth="1"/>
    <col min="8" max="249" width="9.109375" style="66" customWidth="1"/>
    <col min="250" max="16384" width="11.44140625" style="66"/>
  </cols>
  <sheetData>
    <row r="1" spans="1:7" s="109" customFormat="1" ht="45" customHeight="1" x14ac:dyDescent="0.3">
      <c r="A1" s="166"/>
      <c r="B1" s="103" t="str">
        <f ca="1">' '!A71</f>
        <v>A N P A S S U N G   D E R   S Y S T E M E</v>
      </c>
      <c r="C1" s="103"/>
      <c r="D1" s="103"/>
      <c r="E1" s="167"/>
      <c r="F1" s="167"/>
      <c r="G1" s="122"/>
    </row>
    <row r="2" spans="1:7" s="170" customFormat="1" ht="14.25" customHeight="1" x14ac:dyDescent="0.3">
      <c r="B2" s="487"/>
      <c r="C2" s="487"/>
      <c r="D2" s="487"/>
      <c r="E2" s="487"/>
      <c r="G2" s="110"/>
    </row>
    <row r="3" spans="1:7" s="174" customFormat="1" ht="10.5" customHeight="1" x14ac:dyDescent="0.3">
      <c r="A3" s="170"/>
      <c r="B3" s="173"/>
      <c r="D3" s="170"/>
      <c r="G3" s="488"/>
    </row>
    <row r="4" spans="1:7" ht="33" customHeight="1" x14ac:dyDescent="0.3">
      <c r="B4" s="176" t="str">
        <f ca="1">' '!A299</f>
        <v>Ranking</v>
      </c>
      <c r="C4" s="177" t="str">
        <f ca="1">' '!A72</f>
        <v>Bezeichnung</v>
      </c>
      <c r="D4" s="177" t="str">
        <f ca="1">' '!A74</f>
        <v>Kunden-nutzen</v>
      </c>
      <c r="E4" s="177" t="str">
        <f ca="1">' '!A73</f>
        <v>Anpassungen</v>
      </c>
      <c r="F4" s="177" t="str">
        <f ca="1">' '!A75</f>
        <v>Datum</v>
      </c>
      <c r="G4" s="178" t="str">
        <f ca="1">' '!A64</f>
        <v>Status</v>
      </c>
    </row>
    <row r="5" spans="1:7" s="186" customFormat="1" ht="23.4" x14ac:dyDescent="0.3">
      <c r="A5" s="110"/>
      <c r="B5" s="489">
        <f>IF(D5="","",RANK(D5,D$5:D$24)+COUNTIF(D$5:D5,D5)-1)</f>
        <v>3</v>
      </c>
      <c r="C5" s="490" t="s">
        <v>1464</v>
      </c>
      <c r="D5" s="491">
        <v>4</v>
      </c>
      <c r="E5" s="490"/>
      <c r="F5" s="492">
        <v>41640</v>
      </c>
      <c r="G5" s="270">
        <v>2</v>
      </c>
    </row>
    <row r="6" spans="1:7" s="186" customFormat="1" ht="23.4" x14ac:dyDescent="0.3">
      <c r="A6" s="110"/>
      <c r="B6" s="489">
        <f>IF(D6="","",RANK(D6,D$5:D$24)+COUNTIF(D$5:D6,D6)-1)</f>
        <v>1</v>
      </c>
      <c r="C6" s="490" t="s">
        <v>1465</v>
      </c>
      <c r="D6" s="491">
        <v>10</v>
      </c>
      <c r="E6" s="490"/>
      <c r="F6" s="492"/>
      <c r="G6" s="267"/>
    </row>
    <row r="7" spans="1:7" s="186" customFormat="1" ht="23.4" x14ac:dyDescent="0.3">
      <c r="A7" s="110"/>
      <c r="B7" s="489">
        <f>IF(D7="","",RANK(D7,D$5:D$24)+COUNTIF(D$5:D7,D7)-1)</f>
        <v>2</v>
      </c>
      <c r="C7" s="490" t="s">
        <v>1466</v>
      </c>
      <c r="D7" s="491">
        <v>5</v>
      </c>
      <c r="E7" s="490"/>
      <c r="F7" s="492"/>
      <c r="G7" s="270"/>
    </row>
    <row r="8" spans="1:7" s="186" customFormat="1" ht="28.8" x14ac:dyDescent="0.3">
      <c r="A8" s="110"/>
      <c r="B8" s="489">
        <f>IF(D8="","",RANK(D8,D$5:D$24)+COUNTIF(D$5:D8,D8)-1)</f>
        <v>5</v>
      </c>
      <c r="C8" s="490" t="s">
        <v>1467</v>
      </c>
      <c r="D8" s="491">
        <v>1</v>
      </c>
      <c r="E8" s="490"/>
      <c r="F8" s="492"/>
      <c r="G8" s="267"/>
    </row>
    <row r="9" spans="1:7" s="186" customFormat="1" ht="23.4" x14ac:dyDescent="0.3">
      <c r="A9" s="110"/>
      <c r="B9" s="489">
        <f>IF(D9="","",RANK(D9,D$5:D$24)+COUNTIF(D$5:D9,D9)-1)</f>
        <v>4</v>
      </c>
      <c r="C9" s="490" t="s">
        <v>1468</v>
      </c>
      <c r="D9" s="491">
        <v>3</v>
      </c>
      <c r="E9" s="490"/>
      <c r="F9" s="492"/>
      <c r="G9" s="270"/>
    </row>
    <row r="10" spans="1:7" s="186" customFormat="1" ht="23.4" x14ac:dyDescent="0.3">
      <c r="A10" s="110"/>
      <c r="B10" s="489" t="str">
        <f>IF(D10="","",RANK(D10,D$5:D$24)+COUNTIF(D$5:D10,D10)-1)</f>
        <v/>
      </c>
      <c r="C10" s="490"/>
      <c r="D10" s="491"/>
      <c r="E10" s="490"/>
      <c r="F10" s="492"/>
      <c r="G10" s="267"/>
    </row>
    <row r="11" spans="1:7" s="186" customFormat="1" ht="23.4" x14ac:dyDescent="0.3">
      <c r="A11" s="110"/>
      <c r="B11" s="489" t="str">
        <f>IF(D11="","",RANK(D11,D$5:D$24)+COUNTIF(D$5:D11,D11)-1)</f>
        <v/>
      </c>
      <c r="C11" s="490"/>
      <c r="D11" s="491"/>
      <c r="E11" s="490"/>
      <c r="F11" s="492"/>
      <c r="G11" s="270"/>
    </row>
    <row r="12" spans="1:7" s="186" customFormat="1" ht="23.4" x14ac:dyDescent="0.3">
      <c r="A12" s="110"/>
      <c r="B12" s="489" t="str">
        <f>IF(D12="","",RANK(D12,D$5:D$24)+COUNTIF(D$5:D12,D12)-1)</f>
        <v/>
      </c>
      <c r="C12" s="490"/>
      <c r="D12" s="491"/>
      <c r="E12" s="490"/>
      <c r="F12" s="492"/>
      <c r="G12" s="267"/>
    </row>
    <row r="13" spans="1:7" s="186" customFormat="1" ht="23.4" x14ac:dyDescent="0.3">
      <c r="A13" s="110"/>
      <c r="B13" s="489" t="str">
        <f>IF(D13="","",RANK(D13,D$5:D$24)+COUNTIF(D$5:D13,D13)-1)</f>
        <v/>
      </c>
      <c r="C13" s="490"/>
      <c r="D13" s="491"/>
      <c r="E13" s="490"/>
      <c r="F13" s="492"/>
      <c r="G13" s="270"/>
    </row>
    <row r="14" spans="1:7" s="186" customFormat="1" ht="23.4" x14ac:dyDescent="0.3">
      <c r="A14" s="110"/>
      <c r="B14" s="489" t="str">
        <f>IF(D14="","",RANK(D14,D$5:D$24)+COUNTIF(D$5:D14,D14)-1)</f>
        <v/>
      </c>
      <c r="C14" s="490"/>
      <c r="D14" s="491"/>
      <c r="E14" s="490"/>
      <c r="F14" s="492"/>
      <c r="G14" s="267"/>
    </row>
    <row r="15" spans="1:7" s="186" customFormat="1" ht="23.4" x14ac:dyDescent="0.3">
      <c r="A15" s="110"/>
      <c r="B15" s="489" t="str">
        <f>IF(D15="","",RANK(D15,D$5:D$24)+COUNTIF(D$5:D15,D15)-1)</f>
        <v/>
      </c>
      <c r="C15" s="490"/>
      <c r="D15" s="491"/>
      <c r="E15" s="490"/>
      <c r="F15" s="492"/>
      <c r="G15" s="270"/>
    </row>
    <row r="16" spans="1:7" s="186" customFormat="1" ht="23.4" x14ac:dyDescent="0.3">
      <c r="A16" s="110"/>
      <c r="B16" s="489" t="str">
        <f>IF(D16="","",RANK(D16,D$5:D$24)+COUNTIF(D$5:D16,D16)-1)</f>
        <v/>
      </c>
      <c r="C16" s="490"/>
      <c r="D16" s="491"/>
      <c r="E16" s="490"/>
      <c r="F16" s="492"/>
      <c r="G16" s="267"/>
    </row>
    <row r="17" spans="1:7" s="186" customFormat="1" ht="23.4" x14ac:dyDescent="0.3">
      <c r="A17" s="110"/>
      <c r="B17" s="489" t="str">
        <f>IF(D17="","",RANK(D17,D$5:D$24)+COUNTIF(D$5:D17,D17)-1)</f>
        <v/>
      </c>
      <c r="C17" s="490"/>
      <c r="D17" s="491"/>
      <c r="E17" s="490"/>
      <c r="F17" s="492"/>
      <c r="G17" s="267"/>
    </row>
    <row r="18" spans="1:7" s="186" customFormat="1" ht="23.4" x14ac:dyDescent="0.3">
      <c r="A18" s="110"/>
      <c r="B18" s="489" t="str">
        <f>IF(D18="","",RANK(D18,D$5:D$24)+COUNTIF(D$5:D18,D18)-1)</f>
        <v/>
      </c>
      <c r="C18" s="490"/>
      <c r="D18" s="491"/>
      <c r="E18" s="490"/>
      <c r="F18" s="492"/>
      <c r="G18" s="270"/>
    </row>
    <row r="19" spans="1:7" s="186" customFormat="1" ht="23.4" x14ac:dyDescent="0.3">
      <c r="A19" s="110"/>
      <c r="B19" s="489" t="str">
        <f>IF(D19="","",RANK(D19,D$5:D$24)+COUNTIF(D$5:D19,D19)-1)</f>
        <v/>
      </c>
      <c r="C19" s="490"/>
      <c r="D19" s="491"/>
      <c r="E19" s="490"/>
      <c r="F19" s="492"/>
      <c r="G19" s="267"/>
    </row>
    <row r="20" spans="1:7" s="186" customFormat="1" ht="23.4" x14ac:dyDescent="0.3">
      <c r="A20" s="110"/>
      <c r="B20" s="489" t="str">
        <f>IF(D20="","",RANK(D20,D$5:D$24)+COUNTIF(D$5:D20,D20)-1)</f>
        <v/>
      </c>
      <c r="C20" s="490"/>
      <c r="D20" s="491"/>
      <c r="E20" s="490"/>
      <c r="F20" s="492"/>
      <c r="G20" s="270"/>
    </row>
    <row r="21" spans="1:7" s="186" customFormat="1" ht="23.4" x14ac:dyDescent="0.3">
      <c r="A21" s="110"/>
      <c r="B21" s="489" t="str">
        <f>IF(D21="","",RANK(D21,D$5:D$24)+COUNTIF(D$5:D21,D21)-1)</f>
        <v/>
      </c>
      <c r="C21" s="490"/>
      <c r="D21" s="491"/>
      <c r="E21" s="490"/>
      <c r="F21" s="492"/>
      <c r="G21" s="267"/>
    </row>
    <row r="22" spans="1:7" s="186" customFormat="1" ht="23.4" x14ac:dyDescent="0.3">
      <c r="A22" s="110"/>
      <c r="B22" s="489" t="str">
        <f>IF(D22="","",RANK(D22,D$5:D$24)+COUNTIF(D$5:D22,D22)-1)</f>
        <v/>
      </c>
      <c r="C22" s="490"/>
      <c r="D22" s="491"/>
      <c r="E22" s="490"/>
      <c r="F22" s="492"/>
      <c r="G22" s="267"/>
    </row>
    <row r="23" spans="1:7" s="186" customFormat="1" ht="23.4" x14ac:dyDescent="0.3">
      <c r="A23" s="110"/>
      <c r="B23" s="489" t="str">
        <f>IF(D23="","",RANK(D23,D$5:D$24)+COUNTIF(D$5:D23,D23)-1)</f>
        <v/>
      </c>
      <c r="C23" s="490"/>
      <c r="D23" s="491"/>
      <c r="E23" s="490"/>
      <c r="F23" s="492"/>
      <c r="G23" s="270"/>
    </row>
    <row r="24" spans="1:7" s="186" customFormat="1" ht="23.4" x14ac:dyDescent="0.3">
      <c r="A24" s="110"/>
      <c r="B24" s="493" t="str">
        <f>IF(D24="","",RANK(D24,D$5:D$24)+COUNTIF(D$5:D24,D24)-1)</f>
        <v/>
      </c>
      <c r="C24" s="494"/>
      <c r="D24" s="495"/>
      <c r="E24" s="494"/>
      <c r="F24" s="496"/>
      <c r="G24" s="497"/>
    </row>
    <row r="25" spans="1:7" x14ac:dyDescent="0.3">
      <c r="A25" s="170"/>
      <c r="B25" s="74" t="s">
        <v>2103</v>
      </c>
      <c r="E25" s="66"/>
      <c r="F25" s="66"/>
    </row>
    <row r="26" spans="1:7" x14ac:dyDescent="0.3">
      <c r="A26" s="170"/>
      <c r="E26" s="66"/>
      <c r="F26" s="66"/>
    </row>
    <row r="27" spans="1:7" x14ac:dyDescent="0.3">
      <c r="A27" s="170"/>
      <c r="E27" s="66"/>
      <c r="F27" s="66"/>
    </row>
    <row r="28" spans="1:7" x14ac:dyDescent="0.3">
      <c r="A28" s="170"/>
      <c r="B28" s="179" t="s">
        <v>0</v>
      </c>
      <c r="C28" s="179" t="s">
        <v>1</v>
      </c>
      <c r="D28" s="179" t="s">
        <v>2</v>
      </c>
      <c r="E28" s="180" t="s">
        <v>3</v>
      </c>
      <c r="F28" s="498"/>
    </row>
    <row r="29" spans="1:7" x14ac:dyDescent="0.3">
      <c r="A29" s="170"/>
      <c r="B29" s="184" t="str">
        <f t="shared" ref="B29:B48" si="0">IF(D5="","",INDEX($B$5:$D$24,MATCH(D29,$B$5:$B$24,0),2))</f>
        <v>Hardware</v>
      </c>
      <c r="C29" s="184">
        <f t="shared" ref="C29:C48" si="1">IF(D5="","",INDEX($B$5:$D$24,MATCH(D29,$B$5:$B$24,0),3))</f>
        <v>10</v>
      </c>
      <c r="D29" s="184">
        <v>1</v>
      </c>
      <c r="E29" s="185">
        <f>IF(C29="","",C29/SUM($C$29:$C$48))</f>
        <v>0.43478260869565216</v>
      </c>
      <c r="F29" s="499"/>
    </row>
    <row r="30" spans="1:7" x14ac:dyDescent="0.3">
      <c r="A30" s="170"/>
      <c r="B30" s="184" t="str">
        <f t="shared" si="0"/>
        <v>Internetauftritt</v>
      </c>
      <c r="C30" s="184">
        <f t="shared" si="1"/>
        <v>5</v>
      </c>
      <c r="D30" s="184">
        <v>2</v>
      </c>
      <c r="E30" s="185">
        <f t="shared" ref="E30:E48" si="2">IF(C30="","",(C30/SUM($C$29:$C$48)+E29))</f>
        <v>0.65217391304347827</v>
      </c>
      <c r="F30" s="499"/>
    </row>
    <row r="31" spans="1:7" x14ac:dyDescent="0.3">
      <c r="A31" s="170"/>
      <c r="B31" s="184" t="str">
        <f t="shared" si="0"/>
        <v>SAP</v>
      </c>
      <c r="C31" s="184">
        <f t="shared" si="1"/>
        <v>4</v>
      </c>
      <c r="D31" s="184">
        <v>3</v>
      </c>
      <c r="E31" s="185">
        <f t="shared" si="2"/>
        <v>0.82608695652173914</v>
      </c>
      <c r="F31" s="499"/>
    </row>
    <row r="32" spans="1:7" x14ac:dyDescent="0.3">
      <c r="A32" s="170"/>
      <c r="B32" s="184" t="str">
        <f t="shared" si="0"/>
        <v>Software</v>
      </c>
      <c r="C32" s="184">
        <f t="shared" si="1"/>
        <v>3</v>
      </c>
      <c r="D32" s="184">
        <v>4</v>
      </c>
      <c r="E32" s="185">
        <f t="shared" si="2"/>
        <v>0.95652173913043481</v>
      </c>
      <c r="F32" s="499"/>
    </row>
    <row r="33" spans="1:6" x14ac:dyDescent="0.3">
      <c r="A33" s="170"/>
      <c r="B33" s="184" t="str">
        <f t="shared" si="0"/>
        <v>Managementinformations-system</v>
      </c>
      <c r="C33" s="184">
        <f t="shared" si="1"/>
        <v>1</v>
      </c>
      <c r="D33" s="184">
        <v>5</v>
      </c>
      <c r="E33" s="185">
        <f t="shared" si="2"/>
        <v>1</v>
      </c>
      <c r="F33" s="499"/>
    </row>
    <row r="34" spans="1:6" x14ac:dyDescent="0.3">
      <c r="A34" s="170"/>
      <c r="B34" s="184" t="str">
        <f t="shared" si="0"/>
        <v/>
      </c>
      <c r="C34" s="184" t="str">
        <f t="shared" si="1"/>
        <v/>
      </c>
      <c r="D34" s="184">
        <v>6</v>
      </c>
      <c r="E34" s="185" t="str">
        <f t="shared" si="2"/>
        <v/>
      </c>
      <c r="F34" s="499"/>
    </row>
    <row r="35" spans="1:6" x14ac:dyDescent="0.3">
      <c r="A35" s="170"/>
      <c r="B35" s="184" t="str">
        <f t="shared" si="0"/>
        <v/>
      </c>
      <c r="C35" s="184" t="str">
        <f t="shared" si="1"/>
        <v/>
      </c>
      <c r="D35" s="184">
        <v>7</v>
      </c>
      <c r="E35" s="185" t="str">
        <f t="shared" si="2"/>
        <v/>
      </c>
      <c r="F35" s="499"/>
    </row>
    <row r="36" spans="1:6" x14ac:dyDescent="0.3">
      <c r="A36" s="170"/>
      <c r="B36" s="184" t="str">
        <f t="shared" si="0"/>
        <v/>
      </c>
      <c r="C36" s="184" t="str">
        <f t="shared" si="1"/>
        <v/>
      </c>
      <c r="D36" s="184">
        <v>8</v>
      </c>
      <c r="E36" s="185" t="str">
        <f t="shared" si="2"/>
        <v/>
      </c>
      <c r="F36" s="499"/>
    </row>
    <row r="37" spans="1:6" x14ac:dyDescent="0.3">
      <c r="A37" s="170"/>
      <c r="B37" s="184" t="str">
        <f t="shared" si="0"/>
        <v/>
      </c>
      <c r="C37" s="184" t="str">
        <f t="shared" si="1"/>
        <v/>
      </c>
      <c r="D37" s="184">
        <v>9</v>
      </c>
      <c r="E37" s="185" t="str">
        <f t="shared" si="2"/>
        <v/>
      </c>
      <c r="F37" s="499"/>
    </row>
    <row r="38" spans="1:6" x14ac:dyDescent="0.3">
      <c r="A38" s="170"/>
      <c r="B38" s="184" t="str">
        <f t="shared" si="0"/>
        <v/>
      </c>
      <c r="C38" s="184" t="str">
        <f t="shared" si="1"/>
        <v/>
      </c>
      <c r="D38" s="184">
        <v>10</v>
      </c>
      <c r="E38" s="185" t="str">
        <f t="shared" si="2"/>
        <v/>
      </c>
      <c r="F38" s="499"/>
    </row>
    <row r="39" spans="1:6" x14ac:dyDescent="0.3">
      <c r="A39" s="170"/>
      <c r="B39" s="184" t="str">
        <f t="shared" si="0"/>
        <v/>
      </c>
      <c r="C39" s="184" t="str">
        <f t="shared" si="1"/>
        <v/>
      </c>
      <c r="D39" s="184">
        <v>11</v>
      </c>
      <c r="E39" s="185" t="str">
        <f t="shared" si="2"/>
        <v/>
      </c>
      <c r="F39" s="499"/>
    </row>
    <row r="40" spans="1:6" x14ac:dyDescent="0.3">
      <c r="A40" s="170"/>
      <c r="B40" s="184" t="str">
        <f t="shared" si="0"/>
        <v/>
      </c>
      <c r="C40" s="184" t="str">
        <f t="shared" si="1"/>
        <v/>
      </c>
      <c r="D40" s="184">
        <v>12</v>
      </c>
      <c r="E40" s="185" t="str">
        <f t="shared" si="2"/>
        <v/>
      </c>
      <c r="F40" s="499"/>
    </row>
    <row r="41" spans="1:6" x14ac:dyDescent="0.3">
      <c r="A41" s="170"/>
      <c r="B41" s="184" t="str">
        <f t="shared" si="0"/>
        <v/>
      </c>
      <c r="C41" s="184" t="str">
        <f t="shared" si="1"/>
        <v/>
      </c>
      <c r="D41" s="184">
        <v>13</v>
      </c>
      <c r="E41" s="185" t="str">
        <f t="shared" si="2"/>
        <v/>
      </c>
      <c r="F41" s="499"/>
    </row>
    <row r="42" spans="1:6" x14ac:dyDescent="0.3">
      <c r="A42" s="170"/>
      <c r="B42" s="184" t="str">
        <f t="shared" si="0"/>
        <v/>
      </c>
      <c r="C42" s="184" t="str">
        <f t="shared" si="1"/>
        <v/>
      </c>
      <c r="D42" s="184">
        <v>14</v>
      </c>
      <c r="E42" s="185" t="str">
        <f t="shared" si="2"/>
        <v/>
      </c>
      <c r="F42" s="499"/>
    </row>
    <row r="43" spans="1:6" x14ac:dyDescent="0.3">
      <c r="A43" s="170"/>
      <c r="B43" s="184" t="str">
        <f t="shared" si="0"/>
        <v/>
      </c>
      <c r="C43" s="184" t="str">
        <f t="shared" si="1"/>
        <v/>
      </c>
      <c r="D43" s="184">
        <v>15</v>
      </c>
      <c r="E43" s="185" t="str">
        <f t="shared" si="2"/>
        <v/>
      </c>
      <c r="F43" s="499"/>
    </row>
    <row r="44" spans="1:6" x14ac:dyDescent="0.3">
      <c r="A44" s="170"/>
      <c r="B44" s="184" t="str">
        <f t="shared" si="0"/>
        <v/>
      </c>
      <c r="C44" s="184" t="str">
        <f t="shared" si="1"/>
        <v/>
      </c>
      <c r="D44" s="184">
        <v>16</v>
      </c>
      <c r="E44" s="185" t="str">
        <f t="shared" si="2"/>
        <v/>
      </c>
      <c r="F44" s="499"/>
    </row>
    <row r="45" spans="1:6" x14ac:dyDescent="0.3">
      <c r="A45" s="170"/>
      <c r="B45" s="184" t="str">
        <f t="shared" si="0"/>
        <v/>
      </c>
      <c r="C45" s="184" t="str">
        <f t="shared" si="1"/>
        <v/>
      </c>
      <c r="D45" s="184">
        <v>17</v>
      </c>
      <c r="E45" s="185" t="str">
        <f t="shared" si="2"/>
        <v/>
      </c>
      <c r="F45" s="499"/>
    </row>
    <row r="46" spans="1:6" x14ac:dyDescent="0.3">
      <c r="A46" s="170"/>
      <c r="B46" s="184" t="str">
        <f t="shared" si="0"/>
        <v/>
      </c>
      <c r="C46" s="184" t="str">
        <f t="shared" si="1"/>
        <v/>
      </c>
      <c r="D46" s="184">
        <v>18</v>
      </c>
      <c r="E46" s="185" t="str">
        <f t="shared" si="2"/>
        <v/>
      </c>
      <c r="F46" s="499"/>
    </row>
    <row r="47" spans="1:6" x14ac:dyDescent="0.3">
      <c r="A47" s="170"/>
      <c r="B47" s="184" t="str">
        <f t="shared" si="0"/>
        <v/>
      </c>
      <c r="C47" s="184" t="str">
        <f t="shared" si="1"/>
        <v/>
      </c>
      <c r="D47" s="184">
        <v>19</v>
      </c>
      <c r="E47" s="185" t="str">
        <f t="shared" si="2"/>
        <v/>
      </c>
      <c r="F47" s="499"/>
    </row>
    <row r="48" spans="1:6" x14ac:dyDescent="0.3">
      <c r="A48" s="170"/>
      <c r="B48" s="184" t="str">
        <f t="shared" si="0"/>
        <v/>
      </c>
      <c r="C48" s="184" t="str">
        <f t="shared" si="1"/>
        <v/>
      </c>
      <c r="D48" s="184">
        <v>20</v>
      </c>
      <c r="E48" s="185" t="str">
        <f t="shared" si="2"/>
        <v/>
      </c>
      <c r="F48" s="499"/>
    </row>
    <row r="49" spans="1:6" x14ac:dyDescent="0.3">
      <c r="A49" s="170"/>
      <c r="E49" s="66"/>
      <c r="F49" s="66"/>
    </row>
    <row r="50" spans="1:6" x14ac:dyDescent="0.3">
      <c r="A50" s="170"/>
      <c r="E50" s="66"/>
      <c r="F50" s="66"/>
    </row>
    <row r="51" spans="1:6" x14ac:dyDescent="0.3">
      <c r="A51" s="170"/>
      <c r="E51" s="66"/>
      <c r="F51" s="66"/>
    </row>
    <row r="52" spans="1:6" x14ac:dyDescent="0.3">
      <c r="A52" s="170"/>
      <c r="E52" s="66"/>
      <c r="F52" s="66"/>
    </row>
    <row r="53" spans="1:6" x14ac:dyDescent="0.3">
      <c r="A53" s="170"/>
      <c r="E53" s="66"/>
      <c r="F53" s="66"/>
    </row>
    <row r="54" spans="1:6" x14ac:dyDescent="0.3">
      <c r="A54" s="170"/>
      <c r="E54" s="66"/>
      <c r="F54" s="66"/>
    </row>
    <row r="55" spans="1:6" x14ac:dyDescent="0.3">
      <c r="A55" s="170"/>
      <c r="E55" s="66"/>
      <c r="F55" s="66"/>
    </row>
    <row r="56" spans="1:6" x14ac:dyDescent="0.3">
      <c r="B56" s="500"/>
    </row>
    <row r="57" spans="1:6" ht="0.9" customHeight="1" x14ac:dyDescent="0.3">
      <c r="A57" s="277"/>
    </row>
  </sheetData>
  <sheetProtection sheet="1" objects="1" scenarios="1" formatCells="0" formatColumns="0" formatRows="0" insertHyperlinks="0" selectLockedCells="1" sort="0" autoFilter="0"/>
  <conditionalFormatting sqref="B5:G24">
    <cfRule type="expression" dxfId="94" priority="2">
      <formula>MOD(ROW(XFC1048559),2)=0</formula>
    </cfRule>
    <cfRule type="expression" dxfId="93" priority="3">
      <formula>MOD(ROW(XFC1048560),2)=0</formula>
    </cfRule>
  </conditionalFormatting>
  <conditionalFormatting sqref="D5:D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D5:D24" xr:uid="{00000000-0002-0000-0E00-000000000000}">
      <formula1>"1,2,3,4,5,6,7,8,9,10"</formula1>
    </dataValidation>
    <dataValidation type="list" allowBlank="1" showInputMessage="1" showErrorMessage="1" sqref="G5:G21" xr:uid="{00000000-0002-0000-0E00-000001000000}">
      <formula1>"1,2,3"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orientation="portrait" horizontalDpi="1200" verticalDpi="1200" r:id="rId1"/>
  <headerFooter alignWithMargins="0">
    <oddFooter>&amp;L&amp;8&amp;K00-049(c)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41EBB9E5-6788-4432-A6D4-995BB7482C9D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G5:G24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0" tint="-0.499984740745262"/>
    <pageSetUpPr fitToPage="1"/>
  </sheetPr>
  <dimension ref="A1:N52"/>
  <sheetViews>
    <sheetView showGridLines="0" zoomScaleNormal="100" workbookViewId="0">
      <pane ySplit="1" topLeftCell="A2" activePane="bottomLeft" state="frozen"/>
      <selection activeCell="N13" sqref="N13"/>
      <selection pane="bottomLeft" activeCell="F3" sqref="F3"/>
    </sheetView>
  </sheetViews>
  <sheetFormatPr baseColWidth="10" defaultColWidth="11.44140625" defaultRowHeight="14.4" x14ac:dyDescent="0.3"/>
  <cols>
    <col min="1" max="1" width="7" style="627" customWidth="1"/>
    <col min="2" max="2" width="3" style="626" customWidth="1"/>
    <col min="3" max="4" width="40.6640625" style="626" customWidth="1"/>
    <col min="5" max="6" width="20.6640625" style="626" customWidth="1"/>
    <col min="7" max="8" width="40.6640625" style="626" customWidth="1"/>
    <col min="9" max="9" width="4.109375" style="626" customWidth="1"/>
    <col min="10" max="19" width="3" style="626" customWidth="1"/>
    <col min="20" max="16384" width="11.44140625" style="626"/>
  </cols>
  <sheetData>
    <row r="1" spans="1:14" ht="45" customHeight="1" x14ac:dyDescent="0.3">
      <c r="A1" s="622"/>
      <c r="B1" s="623"/>
      <c r="C1" s="624" t="str">
        <f ca="1">' '!A394</f>
        <v xml:space="preserve"> T H E   B U S I N E S S   M O D E L   C A N V A S</v>
      </c>
      <c r="D1" s="624"/>
      <c r="E1" s="624"/>
      <c r="F1" s="624"/>
      <c r="G1" s="624"/>
      <c r="H1" s="122"/>
      <c r="I1" s="625"/>
      <c r="J1" s="625"/>
      <c r="K1" s="625"/>
      <c r="L1" s="625"/>
      <c r="M1" s="625"/>
      <c r="N1" s="625"/>
    </row>
    <row r="2" spans="1:14" ht="25.5" customHeight="1" x14ac:dyDescent="0.3">
      <c r="B2" s="628"/>
      <c r="C2" s="625"/>
      <c r="D2" s="625"/>
      <c r="E2" s="625"/>
      <c r="F2" s="625"/>
      <c r="G2" s="625"/>
      <c r="H2" s="625"/>
      <c r="I2" s="629"/>
    </row>
    <row r="3" spans="1:14" s="627" customFormat="1" x14ac:dyDescent="0.3">
      <c r="A3" s="630"/>
      <c r="C3" s="631" t="str">
        <f ca="1">' '!A395</f>
        <v>Entwickelt für:</v>
      </c>
      <c r="D3" s="632">
        <f>H1</f>
        <v>0</v>
      </c>
      <c r="E3" s="631" t="str">
        <f ca="1">' '!A396</f>
        <v>Entwickelt von:</v>
      </c>
      <c r="F3" s="633"/>
      <c r="G3" s="631" t="str">
        <f ca="1">' '!A397</f>
        <v>Aktualisiert am:</v>
      </c>
      <c r="H3" s="634">
        <f ca="1">TODAY()</f>
        <v>46049</v>
      </c>
    </row>
    <row r="6" spans="1:14" ht="21" x14ac:dyDescent="0.4">
      <c r="C6" s="635" t="s">
        <v>811</v>
      </c>
      <c r="D6" s="635" t="s">
        <v>812</v>
      </c>
      <c r="E6" s="1032" t="s">
        <v>813</v>
      </c>
      <c r="F6" s="1033"/>
      <c r="G6" s="635" t="s">
        <v>814</v>
      </c>
      <c r="H6" s="635" t="s">
        <v>815</v>
      </c>
    </row>
    <row r="7" spans="1:14" x14ac:dyDescent="0.3">
      <c r="C7" s="636"/>
      <c r="D7" s="637"/>
      <c r="E7" s="1027"/>
      <c r="F7" s="1028"/>
      <c r="G7" s="637"/>
      <c r="H7" s="638"/>
    </row>
    <row r="8" spans="1:14" x14ac:dyDescent="0.3">
      <c r="C8" s="639"/>
      <c r="D8" s="640"/>
      <c r="E8" s="1024"/>
      <c r="F8" s="1034"/>
      <c r="G8" s="640"/>
      <c r="H8" s="641"/>
    </row>
    <row r="9" spans="1:14" x14ac:dyDescent="0.3">
      <c r="C9" s="639"/>
      <c r="D9" s="640"/>
      <c r="E9" s="1024"/>
      <c r="F9" s="1034"/>
      <c r="G9" s="640"/>
      <c r="H9" s="641"/>
    </row>
    <row r="10" spans="1:14" x14ac:dyDescent="0.3">
      <c r="C10" s="642"/>
      <c r="D10" s="640"/>
      <c r="E10" s="1024"/>
      <c r="F10" s="1034"/>
      <c r="G10" s="640"/>
      <c r="H10" s="643"/>
    </row>
    <row r="11" spans="1:14" x14ac:dyDescent="0.3">
      <c r="C11" s="644"/>
      <c r="D11" s="645"/>
      <c r="E11" s="1020"/>
      <c r="F11" s="1019"/>
      <c r="G11" s="640"/>
      <c r="H11" s="643"/>
    </row>
    <row r="12" spans="1:14" x14ac:dyDescent="0.3">
      <c r="C12" s="644"/>
      <c r="D12" s="645"/>
      <c r="E12" s="1020"/>
      <c r="F12" s="1019"/>
      <c r="G12" s="645"/>
      <c r="H12" s="643"/>
    </row>
    <row r="13" spans="1:14" x14ac:dyDescent="0.3">
      <c r="C13" s="644"/>
      <c r="D13" s="645"/>
      <c r="E13" s="1020"/>
      <c r="F13" s="1019"/>
      <c r="G13" s="645"/>
      <c r="H13" s="643"/>
    </row>
    <row r="14" spans="1:14" x14ac:dyDescent="0.3">
      <c r="C14" s="644"/>
      <c r="D14" s="645"/>
      <c r="E14" s="1020"/>
      <c r="F14" s="1019"/>
      <c r="G14" s="645"/>
      <c r="H14" s="643"/>
    </row>
    <row r="15" spans="1:14" x14ac:dyDescent="0.3">
      <c r="C15" s="644"/>
      <c r="D15" s="645"/>
      <c r="E15" s="1020"/>
      <c r="F15" s="1019"/>
      <c r="G15" s="645"/>
      <c r="H15" s="643"/>
    </row>
    <row r="16" spans="1:14" x14ac:dyDescent="0.3">
      <c r="C16" s="644"/>
      <c r="D16" s="645"/>
      <c r="E16" s="646"/>
      <c r="F16" s="647"/>
      <c r="G16" s="645"/>
      <c r="H16" s="643"/>
    </row>
    <row r="17" spans="3:8" x14ac:dyDescent="0.3">
      <c r="C17" s="644"/>
      <c r="D17" s="645"/>
      <c r="E17" s="646"/>
      <c r="F17" s="647"/>
      <c r="G17" s="645"/>
      <c r="H17" s="643"/>
    </row>
    <row r="18" spans="3:8" x14ac:dyDescent="0.3">
      <c r="C18" s="644"/>
      <c r="D18" s="645"/>
      <c r="E18" s="646"/>
      <c r="F18" s="647"/>
      <c r="G18" s="645"/>
      <c r="H18" s="643"/>
    </row>
    <row r="19" spans="3:8" x14ac:dyDescent="0.3">
      <c r="C19" s="644"/>
      <c r="D19" s="645"/>
      <c r="E19" s="1020"/>
      <c r="F19" s="1019"/>
      <c r="G19" s="645"/>
      <c r="H19" s="643"/>
    </row>
    <row r="20" spans="3:8" x14ac:dyDescent="0.3">
      <c r="C20" s="644"/>
      <c r="D20" s="645"/>
      <c r="E20" s="1020"/>
      <c r="F20" s="1019"/>
      <c r="G20" s="645"/>
      <c r="H20" s="643"/>
    </row>
    <row r="21" spans="3:8" x14ac:dyDescent="0.3">
      <c r="C21" s="644"/>
      <c r="D21" s="645"/>
      <c r="E21" s="1020"/>
      <c r="F21" s="1019"/>
      <c r="G21" s="645"/>
      <c r="H21" s="643"/>
    </row>
    <row r="22" spans="3:8" x14ac:dyDescent="0.3">
      <c r="C22" s="644"/>
      <c r="D22" s="637"/>
      <c r="E22" s="1020"/>
      <c r="F22" s="1019"/>
      <c r="G22" s="645"/>
      <c r="H22" s="643"/>
    </row>
    <row r="23" spans="3:8" ht="21" x14ac:dyDescent="0.4">
      <c r="C23" s="644"/>
      <c r="D23" s="648" t="s">
        <v>816</v>
      </c>
      <c r="E23" s="1020"/>
      <c r="F23" s="1019"/>
      <c r="G23" s="649" t="s">
        <v>817</v>
      </c>
      <c r="H23" s="643"/>
    </row>
    <row r="24" spans="3:8" x14ac:dyDescent="0.3">
      <c r="C24" s="650"/>
      <c r="D24" s="637"/>
      <c r="E24" s="1020"/>
      <c r="F24" s="1019"/>
      <c r="G24" s="637"/>
      <c r="H24" s="643"/>
    </row>
    <row r="25" spans="3:8" ht="15" customHeight="1" x14ac:dyDescent="0.3">
      <c r="C25" s="650"/>
      <c r="D25" s="651"/>
      <c r="E25" s="1020"/>
      <c r="F25" s="1019"/>
      <c r="G25" s="651"/>
      <c r="H25" s="643"/>
    </row>
    <row r="26" spans="3:8" x14ac:dyDescent="0.3">
      <c r="C26" s="650"/>
      <c r="D26" s="651"/>
      <c r="E26" s="1020"/>
      <c r="F26" s="1019"/>
      <c r="G26" s="651"/>
      <c r="H26" s="643"/>
    </row>
    <row r="27" spans="3:8" x14ac:dyDescent="0.3">
      <c r="C27" s="650"/>
      <c r="D27" s="651"/>
      <c r="E27" s="1020"/>
      <c r="F27" s="1019"/>
      <c r="G27" s="651"/>
      <c r="H27" s="643"/>
    </row>
    <row r="28" spans="3:8" x14ac:dyDescent="0.3">
      <c r="C28" s="650"/>
      <c r="D28" s="645"/>
      <c r="E28" s="1020"/>
      <c r="F28" s="1019"/>
      <c r="G28" s="645"/>
      <c r="H28" s="643"/>
    </row>
    <row r="29" spans="3:8" x14ac:dyDescent="0.3">
      <c r="C29" s="650"/>
      <c r="D29" s="645"/>
      <c r="E29" s="1020"/>
      <c r="F29" s="1019"/>
      <c r="G29" s="645"/>
      <c r="H29" s="643"/>
    </row>
    <row r="30" spans="3:8" x14ac:dyDescent="0.3">
      <c r="C30" s="650"/>
      <c r="D30" s="645"/>
      <c r="E30" s="1020"/>
      <c r="F30" s="1019"/>
      <c r="G30" s="645"/>
      <c r="H30" s="643"/>
    </row>
    <row r="31" spans="3:8" x14ac:dyDescent="0.3">
      <c r="C31" s="650"/>
      <c r="D31" s="645"/>
      <c r="E31" s="1020"/>
      <c r="F31" s="1019"/>
      <c r="G31" s="645"/>
      <c r="H31" s="643"/>
    </row>
    <row r="32" spans="3:8" x14ac:dyDescent="0.3">
      <c r="C32" s="650"/>
      <c r="D32" s="645"/>
      <c r="E32" s="646"/>
      <c r="F32" s="647"/>
      <c r="G32" s="645"/>
      <c r="H32" s="643"/>
    </row>
    <row r="33" spans="3:8" x14ac:dyDescent="0.3">
      <c r="C33" s="650"/>
      <c r="D33" s="645"/>
      <c r="E33" s="1020"/>
      <c r="F33" s="1019"/>
      <c r="G33" s="645"/>
      <c r="H33" s="643"/>
    </row>
    <row r="34" spans="3:8" x14ac:dyDescent="0.3">
      <c r="C34" s="650"/>
      <c r="D34" s="645"/>
      <c r="E34" s="646"/>
      <c r="F34" s="647"/>
      <c r="G34" s="645"/>
      <c r="H34" s="643"/>
    </row>
    <row r="35" spans="3:8" x14ac:dyDescent="0.3">
      <c r="C35" s="650"/>
      <c r="D35" s="645"/>
      <c r="E35" s="646"/>
      <c r="F35" s="647"/>
      <c r="G35" s="645"/>
      <c r="H35" s="643"/>
    </row>
    <row r="36" spans="3:8" x14ac:dyDescent="0.3">
      <c r="C36" s="650"/>
      <c r="D36" s="645"/>
      <c r="E36" s="1020"/>
      <c r="F36" s="1019"/>
      <c r="G36" s="645"/>
      <c r="H36" s="643"/>
    </row>
    <row r="37" spans="3:8" x14ac:dyDescent="0.3">
      <c r="C37" s="650"/>
      <c r="D37" s="645"/>
      <c r="E37" s="1020"/>
      <c r="F37" s="1019"/>
      <c r="G37" s="645"/>
      <c r="H37" s="638"/>
    </row>
    <row r="38" spans="3:8" x14ac:dyDescent="0.3">
      <c r="C38" s="650"/>
      <c r="D38" s="645"/>
      <c r="E38" s="1027"/>
      <c r="F38" s="1028"/>
      <c r="G38" s="645"/>
      <c r="H38" s="638"/>
    </row>
    <row r="39" spans="3:8" ht="21" x14ac:dyDescent="0.4">
      <c r="C39" s="1029" t="s">
        <v>818</v>
      </c>
      <c r="D39" s="1030"/>
      <c r="E39" s="1031"/>
      <c r="F39" s="1029" t="s">
        <v>819</v>
      </c>
      <c r="G39" s="1030"/>
      <c r="H39" s="1031"/>
    </row>
    <row r="40" spans="3:8" x14ac:dyDescent="0.3">
      <c r="C40" s="1017"/>
      <c r="D40" s="1018"/>
      <c r="E40" s="1019"/>
      <c r="F40" s="1020"/>
      <c r="G40" s="1018"/>
      <c r="H40" s="1021"/>
    </row>
    <row r="41" spans="3:8" x14ac:dyDescent="0.3">
      <c r="C41" s="1017"/>
      <c r="D41" s="1018"/>
      <c r="E41" s="1019"/>
      <c r="F41" s="1024"/>
      <c r="G41" s="1025"/>
      <c r="H41" s="1026"/>
    </row>
    <row r="42" spans="3:8" x14ac:dyDescent="0.3">
      <c r="C42" s="1017"/>
      <c r="D42" s="1018"/>
      <c r="E42" s="1019"/>
      <c r="F42" s="1020"/>
      <c r="G42" s="1018"/>
      <c r="H42" s="1021"/>
    </row>
    <row r="43" spans="3:8" x14ac:dyDescent="0.3">
      <c r="C43" s="1017"/>
      <c r="D43" s="1018"/>
      <c r="E43" s="1019"/>
      <c r="F43" s="1020"/>
      <c r="G43" s="1018"/>
      <c r="H43" s="1021"/>
    </row>
    <row r="44" spans="3:8" x14ac:dyDescent="0.3">
      <c r="C44" s="1017"/>
      <c r="D44" s="1018"/>
      <c r="E44" s="1019"/>
      <c r="F44" s="1020"/>
      <c r="G44" s="1018"/>
      <c r="H44" s="1021"/>
    </row>
    <row r="45" spans="3:8" x14ac:dyDescent="0.3">
      <c r="C45" s="1017"/>
      <c r="D45" s="1018"/>
      <c r="E45" s="1019"/>
      <c r="F45" s="1020"/>
      <c r="G45" s="1018"/>
      <c r="H45" s="1021"/>
    </row>
    <row r="46" spans="3:8" x14ac:dyDescent="0.3">
      <c r="C46" s="1017"/>
      <c r="D46" s="1018"/>
      <c r="E46" s="1019"/>
      <c r="F46" s="1020"/>
      <c r="G46" s="1018"/>
      <c r="H46" s="1021"/>
    </row>
    <row r="47" spans="3:8" x14ac:dyDescent="0.3">
      <c r="C47" s="1017"/>
      <c r="D47" s="1018"/>
      <c r="E47" s="1019"/>
      <c r="F47" s="1020"/>
      <c r="G47" s="1018"/>
      <c r="H47" s="1021"/>
    </row>
    <row r="48" spans="3:8" x14ac:dyDescent="0.3">
      <c r="C48" s="1017"/>
      <c r="D48" s="1018"/>
      <c r="E48" s="1019"/>
      <c r="F48" s="1020"/>
      <c r="G48" s="1018"/>
      <c r="H48" s="1021"/>
    </row>
    <row r="49" spans="3:8" x14ac:dyDescent="0.3">
      <c r="C49" s="1017"/>
      <c r="D49" s="1018"/>
      <c r="E49" s="1019"/>
      <c r="F49" s="1020"/>
      <c r="G49" s="1018"/>
      <c r="H49" s="1021"/>
    </row>
    <row r="50" spans="3:8" x14ac:dyDescent="0.3">
      <c r="C50" s="1017"/>
      <c r="D50" s="1018"/>
      <c r="E50" s="1019"/>
      <c r="F50" s="1020"/>
      <c r="G50" s="1018"/>
      <c r="H50" s="1021"/>
    </row>
    <row r="51" spans="3:8" x14ac:dyDescent="0.3">
      <c r="C51" s="1013"/>
      <c r="D51" s="1014"/>
      <c r="E51" s="1015"/>
      <c r="F51" s="1022"/>
      <c r="G51" s="1014"/>
      <c r="H51" s="1023"/>
    </row>
    <row r="52" spans="3:8" x14ac:dyDescent="0.3">
      <c r="C52" s="74" t="s">
        <v>2103</v>
      </c>
      <c r="D52" s="97"/>
    </row>
  </sheetData>
  <sheetProtection sheet="1" objects="1" scenarios="1" formatCells="0" formatColumns="0" formatRows="0" insertHyperlinks="0" selectLockedCells="1" sort="0" autoFilter="0"/>
  <mergeCells count="53">
    <mergeCell ref="E11:F11"/>
    <mergeCell ref="E6:F6"/>
    <mergeCell ref="E7:F7"/>
    <mergeCell ref="E8:F8"/>
    <mergeCell ref="E9:F9"/>
    <mergeCell ref="E10:F10"/>
    <mergeCell ref="E26:F26"/>
    <mergeCell ref="E12:F12"/>
    <mergeCell ref="E13:F13"/>
    <mergeCell ref="E14:F14"/>
    <mergeCell ref="E15:F15"/>
    <mergeCell ref="E19:F19"/>
    <mergeCell ref="E20:F20"/>
    <mergeCell ref="E21:F21"/>
    <mergeCell ref="E22:F22"/>
    <mergeCell ref="E23:F23"/>
    <mergeCell ref="E24:F24"/>
    <mergeCell ref="E25:F25"/>
    <mergeCell ref="C40:E40"/>
    <mergeCell ref="F40:H40"/>
    <mergeCell ref="E27:F27"/>
    <mergeCell ref="E28:F28"/>
    <mergeCell ref="E29:F29"/>
    <mergeCell ref="E30:F30"/>
    <mergeCell ref="E31:F31"/>
    <mergeCell ref="E33:F33"/>
    <mergeCell ref="E36:F36"/>
    <mergeCell ref="E37:F37"/>
    <mergeCell ref="E38:F38"/>
    <mergeCell ref="C39:E39"/>
    <mergeCell ref="F39:H39"/>
    <mergeCell ref="C41:E41"/>
    <mergeCell ref="F41:H41"/>
    <mergeCell ref="C42:E42"/>
    <mergeCell ref="F42:H42"/>
    <mergeCell ref="C43:E43"/>
    <mergeCell ref="F43:H43"/>
    <mergeCell ref="C44:E44"/>
    <mergeCell ref="F44:H44"/>
    <mergeCell ref="C45:E45"/>
    <mergeCell ref="F45:H45"/>
    <mergeCell ref="C46:E46"/>
    <mergeCell ref="F46:H46"/>
    <mergeCell ref="C50:E50"/>
    <mergeCell ref="F50:H50"/>
    <mergeCell ref="C51:E51"/>
    <mergeCell ref="F51:H51"/>
    <mergeCell ref="C47:E47"/>
    <mergeCell ref="F47:H47"/>
    <mergeCell ref="C48:E48"/>
    <mergeCell ref="F48:H48"/>
    <mergeCell ref="C49:E49"/>
    <mergeCell ref="F49:H49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8" scale="95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Tabelle40">
    <tabColor theme="0" tint="-0.34998626667073579"/>
  </sheetPr>
  <dimension ref="A1:AB165"/>
  <sheetViews>
    <sheetView showGridLines="0" zoomScaleNormal="100" workbookViewId="0">
      <pane ySplit="7" topLeftCell="A8" activePane="bottomLeft" state="frozen"/>
      <selection activeCell="N13" sqref="N13"/>
      <selection pane="bottomLeft" activeCell="A8" sqref="A8"/>
    </sheetView>
  </sheetViews>
  <sheetFormatPr baseColWidth="10" defaultColWidth="12.5546875" defaultRowHeight="14.4" x14ac:dyDescent="0.3"/>
  <cols>
    <col min="1" max="1" width="7" style="488" customWidth="1"/>
    <col min="2" max="2" width="3.33203125" style="488" customWidth="1"/>
    <col min="3" max="3" width="0.5546875" style="110" customWidth="1"/>
    <col min="4" max="4" width="15.33203125" style="488" customWidth="1"/>
    <col min="5" max="5" width="36.6640625" style="488" customWidth="1"/>
    <col min="6" max="6" width="0.5546875" style="110" customWidth="1"/>
    <col min="7" max="7" width="1.6640625" style="488" customWidth="1"/>
    <col min="8" max="8" width="5" style="488" customWidth="1"/>
    <col min="9" max="9" width="1.6640625" style="488" customWidth="1"/>
    <col min="10" max="10" width="5" style="488" customWidth="1"/>
    <col min="11" max="11" width="1.6640625" style="488" customWidth="1"/>
    <col min="12" max="12" width="5" style="488" customWidth="1"/>
    <col min="13" max="13" width="1.6640625" style="488" customWidth="1"/>
    <col min="14" max="14" width="5" style="488" customWidth="1"/>
    <col min="15" max="15" width="1.6640625" style="488" customWidth="1"/>
    <col min="16" max="16" width="5" style="488" customWidth="1"/>
    <col min="17" max="17" width="3.88671875" style="488" customWidth="1"/>
    <col min="18" max="18" width="0.109375" style="488" customWidth="1"/>
    <col min="19" max="19" width="5.44140625" style="110" customWidth="1"/>
    <col min="20" max="20" width="0.5546875" style="110" customWidth="1"/>
    <col min="21" max="21" width="39" style="110" customWidth="1"/>
    <col min="22" max="22" width="4.5546875" style="172" customWidth="1"/>
    <col min="23" max="23" width="6.44140625" style="539" customWidth="1"/>
    <col min="24" max="24" width="3" style="539" customWidth="1"/>
    <col min="25" max="25" width="5" style="172" customWidth="1"/>
    <col min="26" max="26" width="3" style="110" customWidth="1"/>
    <col min="27" max="27" width="12.5546875" style="519"/>
    <col min="28" max="16384" width="12.5546875" style="488"/>
  </cols>
  <sheetData>
    <row r="1" spans="1:28" s="109" customFormat="1" ht="45" customHeight="1" x14ac:dyDescent="0.3">
      <c r="B1" s="103" t="str">
        <f ca="1">' '!A138</f>
        <v>C A N V A S :  S T Ä R K E N   &amp;   S C H W Ä C H E N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501"/>
      <c r="S1" s="166"/>
      <c r="T1" s="166"/>
      <c r="U1" s="122"/>
      <c r="V1" s="502"/>
      <c r="W1" s="503"/>
      <c r="X1" s="503"/>
      <c r="Y1" s="504"/>
      <c r="AA1" s="505"/>
    </row>
    <row r="2" spans="1:28" s="109" customFormat="1" ht="22.5" customHeight="1" x14ac:dyDescent="0.3">
      <c r="B2" s="251"/>
      <c r="C2" s="506"/>
      <c r="D2" s="501"/>
      <c r="E2" s="501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7"/>
      <c r="V2" s="508"/>
      <c r="W2" s="503"/>
      <c r="X2" s="503"/>
      <c r="Y2" s="504"/>
      <c r="AA2" s="505"/>
    </row>
    <row r="3" spans="1:28" ht="17.25" customHeight="1" x14ac:dyDescent="0.3">
      <c r="B3" s="509"/>
      <c r="C3" s="510"/>
      <c r="D3" s="511"/>
      <c r="E3" s="597">
        <f>(P10+P15+P24+P29+P33+P41+P46+P50+P55)</f>
        <v>195</v>
      </c>
      <c r="G3" s="1036"/>
      <c r="H3" s="1037" t="str">
        <f ca="1">' '!A143</f>
        <v>trifft überhaupt nicht zu</v>
      </c>
      <c r="I3" s="513"/>
      <c r="J3" s="1037" t="str">
        <f ca="1">' '!A142</f>
        <v>trifft eher nicht zu</v>
      </c>
      <c r="K3" s="513"/>
      <c r="L3" s="1037" t="str">
        <f ca="1">' '!A141</f>
        <v>trifft teilweise zu</v>
      </c>
      <c r="M3" s="513"/>
      <c r="N3" s="1037" t="str">
        <f ca="1">' '!A140</f>
        <v>trifft eher zu</v>
      </c>
      <c r="O3" s="513"/>
      <c r="P3" s="1037" t="str">
        <f ca="1">' '!A139</f>
        <v>trifft voll zu</v>
      </c>
      <c r="Q3" s="513"/>
      <c r="R3" s="513"/>
      <c r="S3" s="1038" t="str">
        <f ca="1">' '!A191</f>
        <v>Auswirkung 
(1 - 10)</v>
      </c>
      <c r="T3" s="514"/>
      <c r="U3" s="515"/>
      <c r="V3" s="516"/>
      <c r="W3" s="517"/>
      <c r="X3" s="517"/>
      <c r="Y3" s="1039"/>
      <c r="Z3" s="518"/>
    </row>
    <row r="4" spans="1:28" ht="17.25" customHeight="1" x14ac:dyDescent="0.3">
      <c r="B4" s="509"/>
      <c r="C4" s="510"/>
      <c r="D4" s="520"/>
      <c r="E4" s="597">
        <f>(N10+N15+N24+N29+N33+N41+N50+N55)</f>
        <v>80</v>
      </c>
      <c r="G4" s="1036"/>
      <c r="H4" s="1037"/>
      <c r="I4" s="513"/>
      <c r="J4" s="1037"/>
      <c r="K4" s="513"/>
      <c r="L4" s="1037"/>
      <c r="M4" s="513"/>
      <c r="N4" s="1037"/>
      <c r="O4" s="513"/>
      <c r="P4" s="1037"/>
      <c r="Q4" s="513"/>
      <c r="R4" s="513"/>
      <c r="S4" s="1038"/>
      <c r="T4" s="514"/>
      <c r="U4" s="515"/>
      <c r="V4" s="521"/>
      <c r="W4" s="517"/>
      <c r="X4" s="517"/>
      <c r="Y4" s="1039"/>
      <c r="Z4" s="522"/>
    </row>
    <row r="5" spans="1:28" ht="17.25" customHeight="1" x14ac:dyDescent="0.3">
      <c r="B5" s="509"/>
      <c r="C5" s="510"/>
      <c r="D5" s="520"/>
      <c r="E5" s="598"/>
      <c r="G5" s="1036"/>
      <c r="H5" s="1037"/>
      <c r="I5" s="513"/>
      <c r="J5" s="1037"/>
      <c r="K5" s="513"/>
      <c r="L5" s="1037"/>
      <c r="M5" s="513"/>
      <c r="N5" s="1037"/>
      <c r="O5" s="513"/>
      <c r="P5" s="1037"/>
      <c r="Q5" s="513"/>
      <c r="R5" s="513"/>
      <c r="S5" s="1038"/>
      <c r="T5" s="514"/>
      <c r="U5" s="515"/>
      <c r="V5" s="521"/>
      <c r="W5" s="517"/>
      <c r="X5" s="517"/>
      <c r="Y5" s="1039"/>
      <c r="Z5" s="524"/>
    </row>
    <row r="6" spans="1:28" ht="24.75" customHeight="1" x14ac:dyDescent="0.3">
      <c r="B6" s="509"/>
      <c r="C6" s="511"/>
      <c r="D6" s="526"/>
      <c r="E6" s="527"/>
      <c r="G6" s="1036"/>
      <c r="H6" s="1037"/>
      <c r="I6" s="513"/>
      <c r="J6" s="1037"/>
      <c r="K6" s="513"/>
      <c r="L6" s="1037"/>
      <c r="M6" s="513"/>
      <c r="N6" s="1037"/>
      <c r="O6" s="513"/>
      <c r="P6" s="1037"/>
      <c r="Q6" s="513"/>
      <c r="R6" s="513"/>
      <c r="S6" s="1038"/>
      <c r="T6" s="514"/>
      <c r="U6" s="528" t="str">
        <f ca="1">CONCATENATE(' '!A195,"  ",E4," / ",E3)</f>
        <v>Total Punkte :  80 / 195</v>
      </c>
      <c r="V6" s="529"/>
      <c r="W6" s="531"/>
      <c r="X6" s="531"/>
      <c r="Y6" s="531"/>
      <c r="Z6" s="531"/>
      <c r="AA6" s="599"/>
      <c r="AB6" s="174"/>
    </row>
    <row r="7" spans="1:28" s="110" customFormat="1" ht="13.5" customHeight="1" x14ac:dyDescent="0.4">
      <c r="D7" s="532"/>
      <c r="E7" s="532"/>
      <c r="G7" s="531"/>
      <c r="H7" s="533">
        <f>(COUNTIF(B118:B164,1)/39)</f>
        <v>5.128205128205128E-2</v>
      </c>
      <c r="I7" s="534"/>
      <c r="J7" s="533">
        <f>(COUNTIF(B118:B164,2)/39)</f>
        <v>0.20512820512820512</v>
      </c>
      <c r="K7" s="534"/>
      <c r="L7" s="533">
        <f>(COUNTIF(B118:B164,3)/39)</f>
        <v>0.23076923076923078</v>
      </c>
      <c r="M7" s="534"/>
      <c r="N7" s="533">
        <f>(COUNTIF(B118:B164,4)/39)</f>
        <v>0.15384615384615385</v>
      </c>
      <c r="O7" s="534"/>
      <c r="P7" s="533">
        <f>(COUNTIF(B118:B164,5)/39)</f>
        <v>7.6923076923076927E-2</v>
      </c>
      <c r="Q7" s="531"/>
      <c r="R7" s="488"/>
      <c r="AA7" s="116"/>
    </row>
    <row r="8" spans="1:28" ht="0.9" customHeight="1" x14ac:dyDescent="0.4">
      <c r="A8" s="535"/>
      <c r="D8" s="536"/>
      <c r="E8" s="536"/>
      <c r="G8" s="537"/>
      <c r="H8" s="537"/>
      <c r="I8" s="538"/>
      <c r="J8" s="537"/>
      <c r="K8" s="538"/>
      <c r="L8" s="537"/>
      <c r="M8" s="538"/>
      <c r="N8" s="537"/>
      <c r="O8" s="538"/>
      <c r="P8" s="537"/>
    </row>
    <row r="9" spans="1:28" ht="5.25" customHeight="1" x14ac:dyDescent="0.4">
      <c r="A9" s="535"/>
      <c r="D9" s="536"/>
      <c r="E9" s="536"/>
      <c r="G9" s="537"/>
      <c r="H9" s="537"/>
      <c r="I9" s="538"/>
      <c r="J9" s="537"/>
      <c r="K9" s="538"/>
      <c r="L9" s="537"/>
      <c r="M9" s="538"/>
      <c r="N9" s="537"/>
      <c r="O9" s="538"/>
      <c r="P9" s="537"/>
    </row>
    <row r="10" spans="1:28" ht="15.75" customHeight="1" x14ac:dyDescent="0.3">
      <c r="B10" s="540">
        <v>1</v>
      </c>
      <c r="C10" s="541"/>
      <c r="D10" s="1040" t="s">
        <v>418</v>
      </c>
      <c r="E10" s="1040"/>
      <c r="G10" s="542">
        <f>SUM(B118:B121)</f>
        <v>13</v>
      </c>
      <c r="H10" s="1040"/>
      <c r="I10" s="1040"/>
      <c r="J10" s="543"/>
      <c r="K10" s="543"/>
      <c r="L10" s="1041"/>
      <c r="M10" s="1041"/>
      <c r="N10" s="544">
        <f>SUM(B118:B121)</f>
        <v>13</v>
      </c>
      <c r="O10" s="545" t="s">
        <v>419</v>
      </c>
      <c r="P10" s="544">
        <v>20</v>
      </c>
      <c r="Q10" s="546"/>
      <c r="R10" s="547"/>
      <c r="S10" s="548"/>
      <c r="T10" s="549"/>
      <c r="U10" s="550"/>
      <c r="V10" s="488"/>
      <c r="W10" s="488"/>
      <c r="X10" s="488"/>
      <c r="Y10" s="488"/>
      <c r="Z10" s="559"/>
      <c r="AA10" s="551"/>
    </row>
    <row r="11" spans="1:28" ht="31.5" customHeight="1" x14ac:dyDescent="0.3">
      <c r="B11" s="552">
        <v>1.1000000000000001</v>
      </c>
      <c r="C11" s="116"/>
      <c r="D11" s="1035" t="str">
        <f ca="1">' '!A144</f>
        <v>Unsere Wertangebote (Value Proposition) entsprechen den Bedürfnissen der Kunden</v>
      </c>
      <c r="E11" s="1035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600">
        <v>9</v>
      </c>
      <c r="T11" s="555"/>
      <c r="U11" s="556"/>
      <c r="V11" s="488"/>
      <c r="W11" s="488"/>
      <c r="X11" s="488"/>
      <c r="Y11" s="488"/>
      <c r="Z11" s="555"/>
      <c r="AA11" s="488"/>
    </row>
    <row r="12" spans="1:28" ht="31.5" customHeight="1" x14ac:dyDescent="0.3">
      <c r="B12" s="552">
        <v>1.2</v>
      </c>
      <c r="C12" s="541"/>
      <c r="D12" s="1035" t="str">
        <f ca="1">' '!A145</f>
        <v>Unsere Wertangebote haben einen grossen Einfluss auf unser  Networking</v>
      </c>
      <c r="E12" s="1035"/>
      <c r="G12" s="547"/>
      <c r="H12" s="547"/>
      <c r="I12" s="547"/>
      <c r="J12" s="547"/>
      <c r="K12" s="547"/>
      <c r="L12" s="547"/>
      <c r="M12" s="547"/>
      <c r="N12" s="547"/>
      <c r="O12" s="547"/>
      <c r="P12" s="547"/>
      <c r="Q12" s="547"/>
      <c r="R12" s="547"/>
      <c r="S12" s="600">
        <v>7</v>
      </c>
      <c r="T12" s="555"/>
      <c r="U12" s="556"/>
      <c r="V12" s="488"/>
      <c r="W12" s="488"/>
      <c r="X12" s="488"/>
      <c r="Y12" s="488"/>
      <c r="Z12" s="555"/>
      <c r="AA12" s="488"/>
    </row>
    <row r="13" spans="1:28" ht="31.5" customHeight="1" x14ac:dyDescent="0.3">
      <c r="B13" s="552">
        <v>1.3</v>
      </c>
      <c r="C13" s="558"/>
      <c r="D13" s="1035" t="str">
        <f ca="1">' '!A146</f>
        <v>Es bestehen grosse Synergien zwischen unseren Produkten und unseren Dienstleistungen</v>
      </c>
      <c r="E13" s="1035"/>
      <c r="G13" s="547"/>
      <c r="H13" s="547"/>
      <c r="I13" s="547"/>
      <c r="J13" s="547"/>
      <c r="K13" s="547"/>
      <c r="L13" s="547"/>
      <c r="M13" s="547"/>
      <c r="N13" s="547"/>
      <c r="O13" s="547"/>
      <c r="P13" s="547"/>
      <c r="Q13" s="547"/>
      <c r="R13" s="547"/>
      <c r="S13" s="600">
        <v>5</v>
      </c>
      <c r="T13" s="555"/>
      <c r="U13" s="556"/>
      <c r="V13" s="488"/>
      <c r="W13" s="488"/>
      <c r="X13" s="488"/>
      <c r="Y13" s="488"/>
      <c r="Z13" s="555"/>
      <c r="AA13" s="488"/>
    </row>
    <row r="14" spans="1:28" ht="18" customHeight="1" x14ac:dyDescent="0.3">
      <c r="B14" s="552">
        <v>1.4</v>
      </c>
      <c r="C14" s="541"/>
      <c r="D14" s="1035" t="str">
        <f ca="1">' '!A147</f>
        <v>Unsere Kunden sind  zufrieden</v>
      </c>
      <c r="E14" s="1035"/>
      <c r="G14" s="547"/>
      <c r="H14" s="547"/>
      <c r="I14" s="547"/>
      <c r="J14" s="547"/>
      <c r="K14" s="547"/>
      <c r="L14" s="547"/>
      <c r="M14" s="547"/>
      <c r="N14" s="547"/>
      <c r="O14" s="547"/>
      <c r="P14" s="547"/>
      <c r="Q14" s="547"/>
      <c r="R14" s="547"/>
      <c r="S14" s="600">
        <v>3</v>
      </c>
      <c r="T14" s="555"/>
      <c r="U14" s="556"/>
      <c r="V14" s="488"/>
      <c r="W14" s="488"/>
      <c r="X14" s="488"/>
      <c r="Y14" s="488"/>
      <c r="Z14" s="555"/>
      <c r="AA14" s="488"/>
    </row>
    <row r="15" spans="1:28" ht="15.75" customHeight="1" x14ac:dyDescent="0.3">
      <c r="B15" s="540">
        <v>2</v>
      </c>
      <c r="C15" s="541"/>
      <c r="D15" s="1040" t="s">
        <v>420</v>
      </c>
      <c r="E15" s="1040"/>
      <c r="G15" s="543"/>
      <c r="H15" s="543"/>
      <c r="I15" s="543"/>
      <c r="J15" s="543"/>
      <c r="K15" s="543"/>
      <c r="L15" s="543"/>
      <c r="M15" s="543"/>
      <c r="N15" s="544">
        <f>SUM(B123:B130)</f>
        <v>25</v>
      </c>
      <c r="O15" s="545" t="s">
        <v>419</v>
      </c>
      <c r="P15" s="544">
        <v>40</v>
      </c>
      <c r="Q15" s="546"/>
      <c r="R15" s="547"/>
      <c r="S15" s="548"/>
      <c r="T15" s="559"/>
      <c r="U15" s="550"/>
      <c r="V15" s="488"/>
      <c r="W15" s="488"/>
      <c r="X15" s="488"/>
      <c r="Y15" s="488"/>
      <c r="Z15" s="559"/>
      <c r="AA15" s="488"/>
    </row>
    <row r="16" spans="1:28" ht="31.5" customHeight="1" x14ac:dyDescent="0.3">
      <c r="B16" s="560">
        <v>2.1</v>
      </c>
      <c r="C16" s="558"/>
      <c r="D16" s="1042" t="str">
        <f ca="1">' '!A149</f>
        <v>Unsere Margen sind hoch</v>
      </c>
      <c r="E16" s="1042"/>
      <c r="G16" s="561"/>
      <c r="H16" s="561"/>
      <c r="I16" s="561"/>
      <c r="J16" s="561"/>
      <c r="K16" s="561"/>
      <c r="L16" s="561"/>
      <c r="M16" s="561"/>
      <c r="N16" s="561"/>
      <c r="O16" s="561"/>
      <c r="P16" s="561"/>
      <c r="Q16" s="561"/>
      <c r="R16" s="547"/>
      <c r="S16" s="562">
        <v>5</v>
      </c>
      <c r="T16" s="601"/>
      <c r="U16" s="556"/>
      <c r="V16" s="488"/>
      <c r="W16" s="488"/>
      <c r="X16" s="488"/>
      <c r="Y16" s="488"/>
      <c r="Z16" s="555"/>
      <c r="AA16" s="488"/>
    </row>
    <row r="17" spans="2:28" ht="31.5" customHeight="1" x14ac:dyDescent="0.3">
      <c r="B17" s="560">
        <v>2.2000000000000002</v>
      </c>
      <c r="C17" s="558"/>
      <c r="D17" s="1042" t="str">
        <f ca="1">' '!A150</f>
        <v>Unsere Erträge sind vorhersehbar</v>
      </c>
      <c r="E17" s="1042"/>
      <c r="G17" s="561"/>
      <c r="H17" s="561"/>
      <c r="I17" s="561"/>
      <c r="J17" s="561"/>
      <c r="K17" s="561"/>
      <c r="L17" s="561"/>
      <c r="M17" s="561"/>
      <c r="N17" s="561"/>
      <c r="O17" s="561"/>
      <c r="P17" s="561"/>
      <c r="Q17" s="561"/>
      <c r="R17" s="547"/>
      <c r="S17" s="562">
        <v>4</v>
      </c>
      <c r="T17" s="601"/>
      <c r="U17" s="556"/>
      <c r="V17" s="488"/>
      <c r="W17" s="488"/>
      <c r="X17" s="488"/>
      <c r="Y17" s="488"/>
      <c r="Z17" s="555"/>
      <c r="AA17" s="602"/>
      <c r="AB17" s="602"/>
    </row>
    <row r="18" spans="2:28" ht="31.5" customHeight="1" x14ac:dyDescent="0.3">
      <c r="B18" s="560">
        <v>2.2999999999999998</v>
      </c>
      <c r="C18" s="116"/>
      <c r="D18" s="1042" t="str">
        <f ca="1">' '!A151</f>
        <v>Wir haben wiederkehrende Einnahmen und häufige wiederholte Käufe</v>
      </c>
      <c r="E18" s="1042"/>
      <c r="G18" s="561"/>
      <c r="H18" s="561"/>
      <c r="I18" s="561"/>
      <c r="J18" s="561"/>
      <c r="K18" s="561"/>
      <c r="L18" s="561"/>
      <c r="M18" s="561"/>
      <c r="N18" s="561"/>
      <c r="O18" s="561"/>
      <c r="P18" s="561"/>
      <c r="Q18" s="561"/>
      <c r="R18" s="547"/>
      <c r="S18" s="562">
        <v>8</v>
      </c>
      <c r="T18" s="601"/>
      <c r="U18" s="556"/>
      <c r="V18" s="488"/>
      <c r="W18" s="488"/>
      <c r="X18" s="488"/>
      <c r="Y18" s="488"/>
      <c r="Z18" s="555"/>
    </row>
    <row r="19" spans="2:28" ht="31.5" customHeight="1" x14ac:dyDescent="0.3">
      <c r="B19" s="560">
        <v>2.4</v>
      </c>
      <c r="C19" s="116"/>
      <c r="D19" s="1042" t="str">
        <f ca="1">' '!A152</f>
        <v>Unsere Einnahmequellen sind diversifiziert</v>
      </c>
      <c r="E19" s="1042"/>
      <c r="G19" s="561"/>
      <c r="H19" s="561"/>
      <c r="I19" s="561"/>
      <c r="J19" s="561"/>
      <c r="K19" s="561"/>
      <c r="L19" s="561"/>
      <c r="M19" s="561"/>
      <c r="N19" s="561"/>
      <c r="O19" s="561"/>
      <c r="P19" s="561"/>
      <c r="Q19" s="561"/>
      <c r="R19" s="547"/>
      <c r="S19" s="562">
        <v>8</v>
      </c>
      <c r="T19" s="601"/>
      <c r="U19" s="556"/>
      <c r="V19" s="488"/>
      <c r="W19" s="488"/>
      <c r="X19" s="488"/>
      <c r="Y19" s="488"/>
      <c r="Z19" s="555"/>
    </row>
    <row r="20" spans="2:28" ht="31.5" customHeight="1" x14ac:dyDescent="0.3">
      <c r="B20" s="560">
        <v>2.5</v>
      </c>
      <c r="C20" s="116"/>
      <c r="D20" s="1042" t="str">
        <f ca="1">' '!A153</f>
        <v>Unsere Einnahmequellen sind nachhaltig</v>
      </c>
      <c r="E20" s="1042"/>
      <c r="G20" s="561"/>
      <c r="H20" s="561"/>
      <c r="I20" s="561"/>
      <c r="J20" s="561"/>
      <c r="K20" s="561"/>
      <c r="L20" s="561"/>
      <c r="M20" s="561"/>
      <c r="N20" s="561"/>
      <c r="O20" s="561"/>
      <c r="P20" s="561"/>
      <c r="Q20" s="561"/>
      <c r="R20" s="547"/>
      <c r="S20" s="562">
        <v>5</v>
      </c>
      <c r="T20" s="601"/>
      <c r="U20" s="556"/>
      <c r="V20" s="488"/>
      <c r="W20" s="488"/>
      <c r="X20" s="488"/>
      <c r="Y20" s="488"/>
      <c r="Z20" s="555"/>
    </row>
    <row r="21" spans="2:28" ht="31.5" customHeight="1" x14ac:dyDescent="0.3">
      <c r="B21" s="560">
        <v>2.6</v>
      </c>
      <c r="C21" s="116"/>
      <c r="D21" s="1042" t="str">
        <f ca="1">' '!A154</f>
        <v>Wir ziehen die Erträge ein bevor wir weitere Verpflichtungen eingehen</v>
      </c>
      <c r="E21" s="1042"/>
      <c r="G21" s="561"/>
      <c r="H21" s="561"/>
      <c r="I21" s="561"/>
      <c r="J21" s="561"/>
      <c r="K21" s="561"/>
      <c r="L21" s="561"/>
      <c r="M21" s="561"/>
      <c r="N21" s="561"/>
      <c r="O21" s="561"/>
      <c r="P21" s="561"/>
      <c r="Q21" s="561"/>
      <c r="R21" s="547"/>
      <c r="S21" s="562">
        <v>9</v>
      </c>
      <c r="T21" s="601"/>
      <c r="U21" s="556"/>
      <c r="V21" s="488"/>
      <c r="W21" s="488"/>
      <c r="X21" s="488"/>
      <c r="Y21" s="488"/>
      <c r="Z21" s="555"/>
    </row>
    <row r="22" spans="2:28" ht="31.5" customHeight="1" x14ac:dyDescent="0.3">
      <c r="B22" s="560">
        <v>2.7</v>
      </c>
      <c r="C22" s="116"/>
      <c r="D22" s="1042" t="str">
        <f ca="1">' '!A155</f>
        <v>Die Höhe der Rechnungsbeträge entsprechen dem, was der Kunde bereit ist zu bezahlen</v>
      </c>
      <c r="E22" s="1042"/>
      <c r="G22" s="561"/>
      <c r="H22" s="561"/>
      <c r="I22" s="561"/>
      <c r="J22" s="561"/>
      <c r="K22" s="561"/>
      <c r="L22" s="561"/>
      <c r="M22" s="561"/>
      <c r="N22" s="561"/>
      <c r="O22" s="561"/>
      <c r="P22" s="561"/>
      <c r="Q22" s="561"/>
      <c r="R22" s="547"/>
      <c r="S22" s="562">
        <v>5</v>
      </c>
      <c r="T22" s="601"/>
      <c r="U22" s="556"/>
      <c r="V22" s="488"/>
      <c r="W22" s="488"/>
      <c r="X22" s="488"/>
      <c r="Y22" s="488"/>
      <c r="Z22" s="555"/>
    </row>
    <row r="23" spans="2:28" ht="31.5" customHeight="1" x14ac:dyDescent="0.3">
      <c r="B23" s="560">
        <v>2.8</v>
      </c>
      <c r="C23" s="116"/>
      <c r="D23" s="1042" t="str">
        <f ca="1">' '!A156</f>
        <v>Unsere Preisgestaltung entspricht dem, was der Kunde bereit ist zu bezahlen</v>
      </c>
      <c r="E23" s="1042"/>
      <c r="G23" s="561"/>
      <c r="H23" s="561"/>
      <c r="I23" s="561"/>
      <c r="J23" s="561"/>
      <c r="K23" s="561"/>
      <c r="L23" s="561"/>
      <c r="M23" s="561"/>
      <c r="N23" s="561"/>
      <c r="O23" s="561"/>
      <c r="P23" s="561"/>
      <c r="Q23" s="561"/>
      <c r="R23" s="547"/>
      <c r="S23" s="562">
        <v>7</v>
      </c>
      <c r="T23" s="601"/>
      <c r="U23" s="556"/>
      <c r="V23" s="488"/>
      <c r="W23" s="488"/>
      <c r="X23" s="488"/>
      <c r="Y23" s="488"/>
      <c r="Z23" s="555"/>
    </row>
    <row r="24" spans="2:28" ht="15.75" customHeight="1" x14ac:dyDescent="0.3">
      <c r="B24" s="540">
        <v>3</v>
      </c>
      <c r="C24" s="541"/>
      <c r="D24" s="1040" t="s">
        <v>421</v>
      </c>
      <c r="E24" s="1040"/>
      <c r="G24" s="543"/>
      <c r="H24" s="543"/>
      <c r="I24" s="543"/>
      <c r="J24" s="543"/>
      <c r="K24" s="543"/>
      <c r="L24" s="543"/>
      <c r="M24" s="543"/>
      <c r="N24" s="544">
        <f>SUM(B132:B135)</f>
        <v>13</v>
      </c>
      <c r="O24" s="545" t="s">
        <v>419</v>
      </c>
      <c r="P24" s="544">
        <v>20</v>
      </c>
      <c r="Q24" s="544"/>
      <c r="R24" s="547"/>
      <c r="S24" s="548"/>
      <c r="T24" s="559"/>
      <c r="U24" s="550"/>
      <c r="V24" s="488"/>
      <c r="W24" s="488"/>
      <c r="X24" s="488"/>
      <c r="Y24" s="488"/>
      <c r="Z24" s="559"/>
    </row>
    <row r="25" spans="2:28" ht="31.5" customHeight="1" x14ac:dyDescent="0.3">
      <c r="B25" s="552">
        <v>3.1</v>
      </c>
      <c r="C25" s="116"/>
      <c r="D25" s="1035" t="str">
        <f ca="1">' '!A158</f>
        <v>Unsere Kosten sind vorhersehbar</v>
      </c>
      <c r="E25" s="1035"/>
      <c r="G25" s="553"/>
      <c r="H25" s="553"/>
      <c r="I25" s="553"/>
      <c r="J25" s="553"/>
      <c r="K25" s="553"/>
      <c r="L25" s="553"/>
      <c r="M25" s="553"/>
      <c r="N25" s="553"/>
      <c r="O25" s="553"/>
      <c r="P25" s="553"/>
      <c r="Q25" s="553"/>
      <c r="R25" s="547"/>
      <c r="S25" s="554">
        <v>5</v>
      </c>
      <c r="T25" s="555"/>
      <c r="U25" s="556"/>
      <c r="V25" s="488"/>
      <c r="W25" s="488"/>
      <c r="X25" s="488"/>
      <c r="Y25" s="488"/>
      <c r="Z25" s="555"/>
    </row>
    <row r="26" spans="2:28" ht="31.5" customHeight="1" x14ac:dyDescent="0.3">
      <c r="B26" s="552">
        <v>3.2</v>
      </c>
      <c r="C26" s="541"/>
      <c r="D26" s="1035" t="str">
        <f ca="1">' '!A159</f>
        <v>Unsere Kostenstruktur ist richtig auf unser Geschäftsmodell abgestimmt</v>
      </c>
      <c r="E26" s="1035"/>
      <c r="G26" s="553"/>
      <c r="H26" s="553"/>
      <c r="I26" s="553"/>
      <c r="J26" s="553"/>
      <c r="K26" s="553"/>
      <c r="L26" s="553"/>
      <c r="M26" s="553"/>
      <c r="N26" s="553"/>
      <c r="O26" s="553"/>
      <c r="P26" s="553"/>
      <c r="Q26" s="563"/>
      <c r="R26" s="564"/>
      <c r="S26" s="554">
        <v>5</v>
      </c>
      <c r="T26" s="555"/>
      <c r="U26" s="556"/>
      <c r="V26" s="488"/>
      <c r="W26" s="488"/>
      <c r="X26" s="488"/>
      <c r="Y26" s="488"/>
      <c r="Z26" s="555"/>
    </row>
    <row r="27" spans="2:28" ht="31.5" customHeight="1" x14ac:dyDescent="0.3">
      <c r="B27" s="552">
        <v>3.3</v>
      </c>
      <c r="C27" s="558"/>
      <c r="D27" s="1035" t="str">
        <f ca="1">' '!A160</f>
        <v>Unsere Aktivitäten sind Kosteneffizient</v>
      </c>
      <c r="E27" s="1035"/>
      <c r="G27" s="553"/>
      <c r="H27" s="553"/>
      <c r="I27" s="553"/>
      <c r="J27" s="553"/>
      <c r="K27" s="553"/>
      <c r="L27" s="553"/>
      <c r="M27" s="553"/>
      <c r="N27" s="553"/>
      <c r="O27" s="553"/>
      <c r="P27" s="553"/>
      <c r="Q27" s="565"/>
      <c r="R27" s="566"/>
      <c r="S27" s="554">
        <v>5</v>
      </c>
      <c r="T27" s="555"/>
      <c r="U27" s="556"/>
      <c r="V27" s="488"/>
      <c r="W27" s="488"/>
      <c r="X27" s="488"/>
      <c r="Y27" s="488"/>
      <c r="Z27" s="555"/>
    </row>
    <row r="28" spans="2:28" ht="31.5" customHeight="1" x14ac:dyDescent="0.3">
      <c r="B28" s="552">
        <v>3.4</v>
      </c>
      <c r="C28" s="541"/>
      <c r="D28" s="1035" t="str">
        <f ca="1">' '!A161</f>
        <v>Wir profitieren von Skaleneffekten</v>
      </c>
      <c r="E28" s="1035"/>
      <c r="G28" s="553"/>
      <c r="H28" s="553"/>
      <c r="I28" s="553"/>
      <c r="J28" s="553"/>
      <c r="K28" s="553"/>
      <c r="L28" s="553"/>
      <c r="M28" s="553"/>
      <c r="N28" s="553"/>
      <c r="O28" s="553"/>
      <c r="P28" s="553"/>
      <c r="Q28" s="553"/>
      <c r="R28" s="547"/>
      <c r="S28" s="554">
        <v>5</v>
      </c>
      <c r="T28" s="555"/>
      <c r="U28" s="556"/>
      <c r="V28" s="488"/>
      <c r="W28" s="488"/>
      <c r="X28" s="488"/>
      <c r="Y28" s="488"/>
      <c r="Z28" s="555"/>
    </row>
    <row r="29" spans="2:28" ht="15.6" x14ac:dyDescent="0.3">
      <c r="B29" s="540">
        <v>4</v>
      </c>
      <c r="C29" s="541"/>
      <c r="D29" s="1040" t="s">
        <v>422</v>
      </c>
      <c r="E29" s="1040"/>
      <c r="G29" s="543"/>
      <c r="H29" s="543"/>
      <c r="I29" s="543"/>
      <c r="J29" s="543"/>
      <c r="K29" s="543"/>
      <c r="L29" s="543"/>
      <c r="M29" s="543"/>
      <c r="N29" s="544">
        <f>SUM(B137:B139)</f>
        <v>6</v>
      </c>
      <c r="O29" s="545" t="s">
        <v>419</v>
      </c>
      <c r="P29" s="544">
        <v>15</v>
      </c>
      <c r="Q29" s="544"/>
      <c r="R29" s="547"/>
      <c r="S29" s="548"/>
      <c r="T29" s="559"/>
      <c r="U29" s="550"/>
      <c r="V29" s="488"/>
      <c r="W29" s="488"/>
      <c r="X29" s="488"/>
      <c r="Y29" s="488"/>
      <c r="Z29" s="559"/>
    </row>
    <row r="30" spans="2:28" ht="31.5" customHeight="1" x14ac:dyDescent="0.3">
      <c r="B30" s="560">
        <v>4.0999999999999996</v>
      </c>
      <c r="C30" s="558"/>
      <c r="D30" s="1042" t="str">
        <f ca="1">' '!A163</f>
        <v>Die Fluktuationsrate der Kunden ist gering</v>
      </c>
      <c r="E30" s="1042"/>
      <c r="G30" s="561"/>
      <c r="H30" s="561"/>
      <c r="I30" s="561"/>
      <c r="J30" s="561"/>
      <c r="K30" s="561"/>
      <c r="L30" s="561"/>
      <c r="M30" s="561"/>
      <c r="N30" s="561"/>
      <c r="O30" s="561"/>
      <c r="P30" s="561"/>
      <c r="Q30" s="561"/>
      <c r="R30" s="547"/>
      <c r="S30" s="562">
        <v>5</v>
      </c>
      <c r="T30" s="555"/>
      <c r="U30" s="556"/>
      <c r="V30" s="488"/>
      <c r="W30" s="488"/>
      <c r="X30" s="488"/>
      <c r="Y30" s="488"/>
      <c r="Z30" s="555"/>
    </row>
    <row r="31" spans="2:28" ht="31.5" customHeight="1" x14ac:dyDescent="0.3">
      <c r="B31" s="560">
        <v>4.2</v>
      </c>
      <c r="C31" s="558"/>
      <c r="D31" s="1042" t="str">
        <f ca="1">' '!A164</f>
        <v>Die Kundensegmentierung ist gut</v>
      </c>
      <c r="E31" s="1042"/>
      <c r="G31" s="561"/>
      <c r="H31" s="561"/>
      <c r="I31" s="561"/>
      <c r="J31" s="561"/>
      <c r="K31" s="561"/>
      <c r="L31" s="561"/>
      <c r="M31" s="561"/>
      <c r="N31" s="561"/>
      <c r="O31" s="561"/>
      <c r="P31" s="561"/>
      <c r="Q31" s="561"/>
      <c r="R31" s="547"/>
      <c r="S31" s="562">
        <v>5</v>
      </c>
      <c r="T31" s="555"/>
      <c r="U31" s="556"/>
      <c r="V31" s="488"/>
      <c r="W31" s="488"/>
      <c r="X31" s="488"/>
      <c r="Y31" s="488"/>
      <c r="Z31" s="555"/>
    </row>
    <row r="32" spans="2:28" ht="43.5" customHeight="1" x14ac:dyDescent="0.3">
      <c r="B32" s="560">
        <v>4.3</v>
      </c>
      <c r="C32" s="558"/>
      <c r="D32" s="1042" t="str">
        <f ca="1">' '!A165</f>
        <v>Wir gewinnen regelmässig neue Kunden</v>
      </c>
      <c r="E32" s="1042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47"/>
      <c r="S32" s="562">
        <v>5</v>
      </c>
      <c r="T32" s="555"/>
      <c r="U32" s="556"/>
      <c r="V32" s="488"/>
      <c r="W32" s="488"/>
      <c r="X32" s="488"/>
      <c r="Y32" s="488"/>
      <c r="Z32" s="555"/>
    </row>
    <row r="33" spans="2:26" ht="15.6" x14ac:dyDescent="0.3">
      <c r="B33" s="540">
        <v>5</v>
      </c>
      <c r="C33" s="541"/>
      <c r="D33" s="1040" t="s">
        <v>423</v>
      </c>
      <c r="E33" s="1040"/>
      <c r="G33" s="543"/>
      <c r="H33" s="543"/>
      <c r="I33" s="543"/>
      <c r="J33" s="543"/>
      <c r="K33" s="543"/>
      <c r="L33" s="543"/>
      <c r="M33" s="543"/>
      <c r="N33" s="544">
        <f>SUM(B141:B147)</f>
        <v>11</v>
      </c>
      <c r="O33" s="545" t="s">
        <v>419</v>
      </c>
      <c r="P33" s="544">
        <v>35</v>
      </c>
      <c r="Q33" s="546"/>
      <c r="R33" s="547"/>
      <c r="S33" s="548"/>
      <c r="T33" s="555"/>
      <c r="U33" s="556"/>
      <c r="V33" s="488"/>
      <c r="W33" s="488"/>
      <c r="X33" s="488"/>
      <c r="Y33" s="488"/>
      <c r="Z33" s="555"/>
    </row>
    <row r="34" spans="2:26" ht="31.5" customHeight="1" x14ac:dyDescent="0.3">
      <c r="B34" s="552">
        <v>5.0999999999999996</v>
      </c>
      <c r="C34" s="116"/>
      <c r="D34" s="1035" t="str">
        <f ca="1">' '!A167</f>
        <v>Unsere Vertriebskanäle sind effizient</v>
      </c>
      <c r="E34" s="1035"/>
      <c r="G34" s="553"/>
      <c r="H34" s="553"/>
      <c r="I34" s="553"/>
      <c r="J34" s="553"/>
      <c r="K34" s="553"/>
      <c r="L34" s="553"/>
      <c r="M34" s="553"/>
      <c r="N34" s="553"/>
      <c r="O34" s="553"/>
      <c r="P34" s="553"/>
      <c r="Q34" s="553"/>
      <c r="R34" s="547"/>
      <c r="S34" s="554">
        <v>5</v>
      </c>
      <c r="T34" s="555"/>
      <c r="U34" s="556"/>
      <c r="V34" s="488"/>
      <c r="W34" s="488"/>
      <c r="X34" s="488"/>
      <c r="Y34" s="488"/>
      <c r="Z34" s="555"/>
    </row>
    <row r="35" spans="2:26" ht="31.5" customHeight="1" x14ac:dyDescent="0.3">
      <c r="B35" s="552">
        <v>5.2</v>
      </c>
      <c r="C35" s="541"/>
      <c r="D35" s="1035" t="str">
        <f ca="1">' '!A168</f>
        <v>Unsere Vertriebskanäle sind wirksam (effektiv)</v>
      </c>
      <c r="E35" s="1035"/>
      <c r="G35" s="553"/>
      <c r="H35" s="553"/>
      <c r="I35" s="553"/>
      <c r="J35" s="553"/>
      <c r="K35" s="553"/>
      <c r="L35" s="553"/>
      <c r="M35" s="553"/>
      <c r="N35" s="553"/>
      <c r="O35" s="553"/>
      <c r="P35" s="553"/>
      <c r="Q35" s="563"/>
      <c r="R35" s="547"/>
      <c r="S35" s="554">
        <v>5</v>
      </c>
      <c r="T35" s="555"/>
      <c r="U35" s="556"/>
      <c r="V35" s="488"/>
      <c r="W35" s="488"/>
      <c r="X35" s="488"/>
      <c r="Y35" s="488"/>
      <c r="Z35" s="555"/>
    </row>
    <row r="36" spans="2:26" ht="31.5" customHeight="1" x14ac:dyDescent="0.3">
      <c r="B36" s="552">
        <v>5.3</v>
      </c>
      <c r="C36" s="558"/>
      <c r="D36" s="1035" t="str">
        <f ca="1">' '!A169</f>
        <v>Die Penetration (Reichweite) der Vertriebskanäle ist gut</v>
      </c>
      <c r="E36" s="1035"/>
      <c r="G36" s="553"/>
      <c r="H36" s="553"/>
      <c r="I36" s="553"/>
      <c r="J36" s="553"/>
      <c r="K36" s="553"/>
      <c r="L36" s="553"/>
      <c r="M36" s="553"/>
      <c r="N36" s="553"/>
      <c r="O36" s="553"/>
      <c r="P36" s="553"/>
      <c r="Q36" s="565"/>
      <c r="R36" s="547"/>
      <c r="S36" s="554">
        <v>5</v>
      </c>
      <c r="T36" s="555"/>
      <c r="U36" s="556"/>
      <c r="V36" s="488"/>
      <c r="W36" s="488"/>
      <c r="X36" s="488"/>
      <c r="Y36" s="488"/>
      <c r="Z36" s="555"/>
    </row>
    <row r="37" spans="2:26" ht="31.5" customHeight="1" x14ac:dyDescent="0.3">
      <c r="B37" s="603">
        <v>5.4</v>
      </c>
      <c r="C37" s="541"/>
      <c r="D37" s="1035" t="str">
        <f ca="1">' '!A170</f>
        <v xml:space="preserve">Die Vertriebskanäle werden von unseren Kunden einfach identifiziert </v>
      </c>
      <c r="E37" s="1035"/>
      <c r="G37" s="553"/>
      <c r="H37" s="553"/>
      <c r="I37" s="553"/>
      <c r="J37" s="553"/>
      <c r="K37" s="553"/>
      <c r="L37" s="553"/>
      <c r="M37" s="553"/>
      <c r="N37" s="553"/>
      <c r="O37" s="553"/>
      <c r="P37" s="553"/>
      <c r="Q37" s="553"/>
      <c r="R37" s="547"/>
      <c r="S37" s="554">
        <v>5</v>
      </c>
      <c r="T37" s="555"/>
      <c r="U37" s="556"/>
      <c r="V37" s="488"/>
      <c r="W37" s="488"/>
      <c r="X37" s="488"/>
      <c r="Y37" s="488"/>
      <c r="Z37" s="555"/>
    </row>
    <row r="38" spans="2:26" ht="31.5" customHeight="1" x14ac:dyDescent="0.3">
      <c r="B38" s="552">
        <v>5.5</v>
      </c>
      <c r="C38" s="116"/>
      <c r="D38" s="1035" t="str">
        <f ca="1">' '!A171</f>
        <v>Die Vertriebskanäle sind sehr stark integriert</v>
      </c>
      <c r="E38" s="1035"/>
      <c r="G38" s="553"/>
      <c r="H38" s="553"/>
      <c r="I38" s="553"/>
      <c r="J38" s="553"/>
      <c r="K38" s="553"/>
      <c r="L38" s="553"/>
      <c r="M38" s="553"/>
      <c r="N38" s="553"/>
      <c r="O38" s="553"/>
      <c r="P38" s="553"/>
      <c r="Q38" s="553"/>
      <c r="R38" s="547"/>
      <c r="S38" s="554">
        <v>5</v>
      </c>
      <c r="T38" s="555"/>
      <c r="U38" s="556"/>
      <c r="V38" s="488"/>
      <c r="W38" s="488"/>
      <c r="X38" s="488"/>
      <c r="Y38" s="488"/>
      <c r="Z38" s="555"/>
    </row>
    <row r="39" spans="2:26" ht="31.5" customHeight="1" x14ac:dyDescent="0.3">
      <c r="B39" s="552">
        <v>5.6</v>
      </c>
      <c r="C39" s="541"/>
      <c r="D39" s="1035" t="str">
        <f ca="1">' '!A172</f>
        <v xml:space="preserve">Mit den Vertriebskanäle können Synergien und Kostenvorteile realisiert werden (economies of scope, Verbundvorteile) </v>
      </c>
      <c r="E39" s="1035"/>
      <c r="G39" s="553"/>
      <c r="H39" s="553"/>
      <c r="I39" s="553"/>
      <c r="J39" s="553"/>
      <c r="K39" s="553"/>
      <c r="L39" s="553"/>
      <c r="M39" s="553"/>
      <c r="N39" s="553"/>
      <c r="O39" s="553"/>
      <c r="P39" s="553"/>
      <c r="Q39" s="563"/>
      <c r="R39" s="547"/>
      <c r="S39" s="554">
        <v>5</v>
      </c>
      <c r="T39" s="555"/>
      <c r="U39" s="556"/>
      <c r="V39" s="488"/>
      <c r="W39" s="488"/>
      <c r="X39" s="488"/>
      <c r="Y39" s="488"/>
      <c r="Z39" s="555"/>
    </row>
    <row r="40" spans="2:26" ht="31.5" customHeight="1" x14ac:dyDescent="0.3">
      <c r="B40" s="552">
        <v>5.7</v>
      </c>
      <c r="C40" s="558"/>
      <c r="D40" s="1035" t="str">
        <f ca="1">' '!A173</f>
        <v>Die Vertriebskanäle sind auf die Kundensegmente abgestimmt</v>
      </c>
      <c r="E40" s="1035"/>
      <c r="G40" s="553"/>
      <c r="H40" s="553"/>
      <c r="I40" s="553"/>
      <c r="J40" s="553"/>
      <c r="K40" s="553"/>
      <c r="L40" s="553"/>
      <c r="M40" s="553"/>
      <c r="N40" s="553"/>
      <c r="O40" s="553"/>
      <c r="P40" s="553"/>
      <c r="Q40" s="565"/>
      <c r="R40" s="547"/>
      <c r="S40" s="554">
        <v>5</v>
      </c>
      <c r="T40" s="555"/>
      <c r="U40" s="556"/>
      <c r="V40" s="488"/>
      <c r="W40" s="488"/>
      <c r="X40" s="488"/>
      <c r="Y40" s="488"/>
      <c r="Z40" s="555"/>
    </row>
    <row r="41" spans="2:26" ht="15.6" x14ac:dyDescent="0.3">
      <c r="B41" s="540">
        <v>6</v>
      </c>
      <c r="C41" s="541"/>
      <c r="D41" s="1040" t="s">
        <v>418</v>
      </c>
      <c r="E41" s="1040"/>
      <c r="G41" s="543"/>
      <c r="H41" s="543"/>
      <c r="I41" s="543"/>
      <c r="J41" s="543"/>
      <c r="K41" s="543"/>
      <c r="L41" s="543"/>
      <c r="M41" s="543"/>
      <c r="N41" s="544">
        <f>SUM(B149:B152)</f>
        <v>6</v>
      </c>
      <c r="O41" s="545" t="s">
        <v>419</v>
      </c>
      <c r="P41" s="544">
        <v>20</v>
      </c>
      <c r="Q41" s="546"/>
      <c r="R41" s="547"/>
      <c r="S41" s="548"/>
      <c r="T41" s="555"/>
      <c r="U41" s="556"/>
      <c r="V41" s="488"/>
      <c r="W41" s="488"/>
      <c r="X41" s="488"/>
      <c r="Y41" s="488"/>
      <c r="Z41" s="555"/>
    </row>
    <row r="42" spans="2:26" ht="31.5" customHeight="1" x14ac:dyDescent="0.3">
      <c r="B42" s="560">
        <v>6.1</v>
      </c>
      <c r="C42" s="558"/>
      <c r="D42" s="1042" t="str">
        <f ca="1">' '!A175</f>
        <v>Starke Kundenbeziehung</v>
      </c>
      <c r="E42" s="1042"/>
      <c r="G42" s="561"/>
      <c r="H42" s="561"/>
      <c r="I42" s="561"/>
      <c r="J42" s="561"/>
      <c r="K42" s="561"/>
      <c r="L42" s="561"/>
      <c r="M42" s="561"/>
      <c r="N42" s="561"/>
      <c r="O42" s="561"/>
      <c r="P42" s="561"/>
      <c r="Q42" s="561"/>
      <c r="R42" s="547"/>
      <c r="S42" s="562">
        <v>5</v>
      </c>
      <c r="T42" s="555"/>
      <c r="U42" s="556"/>
      <c r="V42" s="488"/>
      <c r="W42" s="488"/>
      <c r="X42" s="488"/>
      <c r="Y42" s="488"/>
      <c r="Z42" s="555"/>
    </row>
    <row r="43" spans="2:26" ht="31.5" customHeight="1" x14ac:dyDescent="0.3">
      <c r="B43" s="560">
        <v>6.2</v>
      </c>
      <c r="C43" s="558"/>
      <c r="D43" s="1042" t="str">
        <f ca="1">' '!A176</f>
        <v>Die Qualität der Beziehung entspricht der Kundensegmentierung</v>
      </c>
      <c r="E43" s="1042"/>
      <c r="G43" s="561"/>
      <c r="H43" s="561"/>
      <c r="I43" s="561"/>
      <c r="J43" s="561"/>
      <c r="K43" s="561"/>
      <c r="L43" s="561"/>
      <c r="M43" s="561"/>
      <c r="N43" s="561"/>
      <c r="O43" s="561"/>
      <c r="P43" s="561"/>
      <c r="Q43" s="561"/>
      <c r="R43" s="547"/>
      <c r="S43" s="562">
        <v>5</v>
      </c>
      <c r="T43" s="555"/>
      <c r="U43" s="556"/>
      <c r="V43" s="488"/>
      <c r="W43" s="488"/>
      <c r="X43" s="488"/>
      <c r="Y43" s="488"/>
      <c r="Z43" s="555"/>
    </row>
    <row r="44" spans="2:26" ht="31.5" customHeight="1" x14ac:dyDescent="0.3">
      <c r="B44" s="560">
        <v>6.3</v>
      </c>
      <c r="C44" s="558"/>
      <c r="D44" s="1042" t="str">
        <f ca="1">' '!A177</f>
        <v>Die Kundenbindung ist so stark, dass ein Wechsel hohe Kosten für den Kunden bringt</v>
      </c>
      <c r="E44" s="1042"/>
      <c r="G44" s="561"/>
      <c r="H44" s="561"/>
      <c r="I44" s="561"/>
      <c r="J44" s="561"/>
      <c r="K44" s="561"/>
      <c r="L44" s="561"/>
      <c r="M44" s="561"/>
      <c r="N44" s="561"/>
      <c r="O44" s="561"/>
      <c r="P44" s="561"/>
      <c r="Q44" s="561"/>
      <c r="R44" s="547"/>
      <c r="S44" s="562">
        <v>5</v>
      </c>
      <c r="T44" s="555"/>
      <c r="U44" s="556"/>
      <c r="V44" s="488"/>
      <c r="W44" s="488"/>
      <c r="X44" s="488"/>
      <c r="Y44" s="488"/>
      <c r="Z44" s="555"/>
    </row>
    <row r="45" spans="2:26" ht="31.5" customHeight="1" x14ac:dyDescent="0.3">
      <c r="B45" s="560">
        <v>6.4</v>
      </c>
      <c r="C45" s="558"/>
      <c r="D45" s="1042" t="str">
        <f ca="1">' '!A178</f>
        <v>Unsere Marke ist stark</v>
      </c>
      <c r="E45" s="1042"/>
      <c r="G45" s="561"/>
      <c r="H45" s="561"/>
      <c r="I45" s="561"/>
      <c r="J45" s="561"/>
      <c r="K45" s="561"/>
      <c r="L45" s="561"/>
      <c r="M45" s="561"/>
      <c r="N45" s="561"/>
      <c r="O45" s="561"/>
      <c r="P45" s="561"/>
      <c r="Q45" s="561"/>
      <c r="R45" s="547"/>
      <c r="S45" s="562">
        <v>5</v>
      </c>
      <c r="T45" s="555"/>
      <c r="U45" s="556"/>
      <c r="V45" s="488"/>
      <c r="W45" s="488"/>
      <c r="X45" s="488"/>
      <c r="Y45" s="488"/>
      <c r="Z45" s="555"/>
    </row>
    <row r="46" spans="2:26" ht="15.6" x14ac:dyDescent="0.3">
      <c r="B46" s="540">
        <v>7</v>
      </c>
      <c r="C46" s="541"/>
      <c r="D46" s="1040" t="s">
        <v>424</v>
      </c>
      <c r="E46" s="1040"/>
      <c r="G46" s="543"/>
      <c r="H46" s="543"/>
      <c r="I46" s="543"/>
      <c r="J46" s="543"/>
      <c r="K46" s="543"/>
      <c r="L46" s="543"/>
      <c r="M46" s="543"/>
      <c r="N46" s="544">
        <f>SUM(B154:B156)</f>
        <v>4</v>
      </c>
      <c r="O46" s="545" t="s">
        <v>419</v>
      </c>
      <c r="P46" s="544">
        <v>15</v>
      </c>
      <c r="Q46" s="546"/>
      <c r="R46" s="547"/>
      <c r="S46" s="548"/>
      <c r="T46" s="555"/>
      <c r="U46" s="556"/>
      <c r="V46" s="488"/>
      <c r="W46" s="488"/>
      <c r="X46" s="488"/>
      <c r="Y46" s="488"/>
      <c r="Z46" s="555"/>
    </row>
    <row r="47" spans="2:26" ht="31.5" customHeight="1" x14ac:dyDescent="0.3">
      <c r="B47" s="552">
        <v>7.1</v>
      </c>
      <c r="C47" s="116"/>
      <c r="D47" s="1035" t="str">
        <f ca="1">' '!A180</f>
        <v>Unsere wichtigsten Ressourcen sind für Konkurrenten schwierig zu kopieren</v>
      </c>
      <c r="E47" s="1035"/>
      <c r="G47" s="553"/>
      <c r="H47" s="553"/>
      <c r="I47" s="553"/>
      <c r="J47" s="553"/>
      <c r="K47" s="553"/>
      <c r="L47" s="553"/>
      <c r="M47" s="553"/>
      <c r="N47" s="553"/>
      <c r="O47" s="553"/>
      <c r="P47" s="553"/>
      <c r="Q47" s="553"/>
      <c r="R47" s="547"/>
      <c r="S47" s="554">
        <v>5</v>
      </c>
      <c r="T47" s="555"/>
      <c r="U47" s="556"/>
      <c r="V47" s="488"/>
      <c r="W47" s="488"/>
      <c r="X47" s="488"/>
      <c r="Y47" s="488"/>
      <c r="Z47" s="555"/>
    </row>
    <row r="48" spans="2:26" ht="31.5" customHeight="1" x14ac:dyDescent="0.3">
      <c r="B48" s="552">
        <v>7.2</v>
      </c>
      <c r="C48" s="116"/>
      <c r="D48" s="1035" t="str">
        <f ca="1">' '!A181</f>
        <v>Der Bedarf an Ressourcen ist vorhersehbar</v>
      </c>
      <c r="E48" s="1035"/>
      <c r="G48" s="553"/>
      <c r="H48" s="553"/>
      <c r="I48" s="553"/>
      <c r="J48" s="553"/>
      <c r="K48" s="553"/>
      <c r="L48" s="553"/>
      <c r="M48" s="553"/>
      <c r="N48" s="553"/>
      <c r="O48" s="553"/>
      <c r="P48" s="553"/>
      <c r="Q48" s="553"/>
      <c r="R48" s="547"/>
      <c r="S48" s="554">
        <v>5</v>
      </c>
      <c r="T48" s="555"/>
      <c r="U48" s="556"/>
      <c r="V48" s="488"/>
      <c r="W48" s="488"/>
      <c r="X48" s="488"/>
      <c r="Y48" s="488"/>
      <c r="Z48" s="555"/>
    </row>
    <row r="49" spans="2:26" ht="52.5" customHeight="1" x14ac:dyDescent="0.3">
      <c r="B49" s="552">
        <v>7.3</v>
      </c>
      <c r="C49" s="116"/>
      <c r="D49" s="1035" t="str">
        <f ca="1">' '!A182</f>
        <v>Wir setzen die unsere Kernressourcen zum richtigen Zeitpunkt und in der richtigen Menge ein</v>
      </c>
      <c r="E49" s="1035"/>
      <c r="G49" s="553"/>
      <c r="H49" s="553"/>
      <c r="I49" s="553"/>
      <c r="J49" s="553"/>
      <c r="K49" s="553"/>
      <c r="L49" s="553"/>
      <c r="M49" s="553"/>
      <c r="N49" s="553"/>
      <c r="O49" s="553"/>
      <c r="P49" s="553"/>
      <c r="Q49" s="553"/>
      <c r="R49" s="547"/>
      <c r="S49" s="554">
        <v>5</v>
      </c>
      <c r="T49" s="555"/>
      <c r="U49" s="556"/>
      <c r="V49" s="488"/>
      <c r="W49" s="488"/>
      <c r="X49" s="488"/>
      <c r="Y49" s="488"/>
      <c r="Z49" s="555"/>
    </row>
    <row r="50" spans="2:26" ht="15.6" x14ac:dyDescent="0.3">
      <c r="B50" s="540">
        <v>8</v>
      </c>
      <c r="C50" s="541"/>
      <c r="D50" s="1040" t="s">
        <v>425</v>
      </c>
      <c r="E50" s="1040"/>
      <c r="G50" s="543"/>
      <c r="H50" s="543"/>
      <c r="I50" s="543"/>
      <c r="J50" s="543"/>
      <c r="K50" s="543"/>
      <c r="L50" s="543"/>
      <c r="M50" s="543"/>
      <c r="N50" s="544">
        <f>SUM(B158:B161)</f>
        <v>3</v>
      </c>
      <c r="O50" s="545" t="s">
        <v>419</v>
      </c>
      <c r="P50" s="544">
        <v>20</v>
      </c>
      <c r="Q50" s="546"/>
      <c r="R50" s="547"/>
      <c r="S50" s="548"/>
      <c r="T50" s="555"/>
      <c r="U50" s="556"/>
      <c r="V50" s="488"/>
      <c r="W50" s="488"/>
      <c r="X50" s="488"/>
      <c r="Y50" s="488"/>
      <c r="Z50" s="555"/>
    </row>
    <row r="51" spans="2:26" ht="31.5" customHeight="1" x14ac:dyDescent="0.3">
      <c r="B51" s="560">
        <v>8.1</v>
      </c>
      <c r="C51" s="558"/>
      <c r="D51" s="1042" t="str">
        <f ca="1">' '!A184</f>
        <v xml:space="preserve">Wir setzen unser Kerngeschäft effektiv um </v>
      </c>
      <c r="E51" s="1042"/>
      <c r="G51" s="561"/>
      <c r="H51" s="561"/>
      <c r="I51" s="561"/>
      <c r="J51" s="561"/>
      <c r="K51" s="561"/>
      <c r="L51" s="561"/>
      <c r="M51" s="561"/>
      <c r="N51" s="561"/>
      <c r="O51" s="561"/>
      <c r="P51" s="561"/>
      <c r="Q51" s="561"/>
      <c r="R51" s="547"/>
      <c r="S51" s="562">
        <v>5</v>
      </c>
      <c r="T51" s="555"/>
      <c r="U51" s="556"/>
      <c r="V51" s="488"/>
      <c r="W51" s="488"/>
      <c r="X51" s="488"/>
      <c r="Y51" s="488"/>
      <c r="Z51" s="555"/>
    </row>
    <row r="52" spans="2:26" ht="31.5" customHeight="1" x14ac:dyDescent="0.3">
      <c r="B52" s="560">
        <v>8.1999999999999993</v>
      </c>
      <c r="C52" s="558"/>
      <c r="D52" s="1042" t="str">
        <f ca="1">' '!A185</f>
        <v>Unsere Kernaktivitäten sind schwierig zu kopieren</v>
      </c>
      <c r="E52" s="1042"/>
      <c r="G52" s="561"/>
      <c r="H52" s="561"/>
      <c r="I52" s="561"/>
      <c r="J52" s="561"/>
      <c r="K52" s="561"/>
      <c r="L52" s="561"/>
      <c r="M52" s="561"/>
      <c r="N52" s="561"/>
      <c r="O52" s="561"/>
      <c r="P52" s="561"/>
      <c r="Q52" s="561"/>
      <c r="R52" s="547"/>
      <c r="S52" s="562">
        <v>5</v>
      </c>
      <c r="T52" s="555"/>
      <c r="U52" s="556"/>
      <c r="V52" s="488"/>
      <c r="W52" s="488"/>
      <c r="X52" s="488"/>
      <c r="Y52" s="488"/>
      <c r="Z52" s="555"/>
    </row>
    <row r="53" spans="2:26" ht="31.5" customHeight="1" x14ac:dyDescent="0.3">
      <c r="B53" s="560">
        <v>8.3000000000000007</v>
      </c>
      <c r="C53" s="558"/>
      <c r="D53" s="1042" t="str">
        <f ca="1">' '!A186</f>
        <v>Die Ausführungsqualität ist hoch</v>
      </c>
      <c r="E53" s="1042"/>
      <c r="G53" s="561"/>
      <c r="H53" s="561"/>
      <c r="I53" s="561"/>
      <c r="J53" s="561"/>
      <c r="K53" s="561"/>
      <c r="L53" s="561"/>
      <c r="M53" s="561"/>
      <c r="N53" s="561"/>
      <c r="O53" s="561"/>
      <c r="P53" s="561"/>
      <c r="Q53" s="561"/>
      <c r="R53" s="547"/>
      <c r="S53" s="562">
        <v>5</v>
      </c>
      <c r="T53" s="555"/>
      <c r="U53" s="556"/>
      <c r="V53" s="488"/>
      <c r="W53" s="488"/>
      <c r="X53" s="488"/>
      <c r="Y53" s="488"/>
      <c r="Z53" s="555"/>
    </row>
    <row r="54" spans="2:26" ht="31.5" customHeight="1" x14ac:dyDescent="0.3">
      <c r="B54" s="560">
        <v>8.4</v>
      </c>
      <c r="C54" s="558"/>
      <c r="D54" s="1042" t="str">
        <f ca="1">' '!A187</f>
        <v>Die Balance zwischen internen und ausgelagerten Tätigkeiten ist ideal</v>
      </c>
      <c r="E54" s="1042"/>
      <c r="G54" s="561"/>
      <c r="H54" s="561"/>
      <c r="I54" s="561"/>
      <c r="J54" s="561"/>
      <c r="K54" s="561"/>
      <c r="L54" s="561"/>
      <c r="M54" s="561"/>
      <c r="N54" s="561"/>
      <c r="O54" s="561"/>
      <c r="P54" s="561"/>
      <c r="Q54" s="561"/>
      <c r="R54" s="547"/>
      <c r="S54" s="562">
        <v>5</v>
      </c>
      <c r="T54" s="555"/>
      <c r="U54" s="556"/>
      <c r="V54" s="488"/>
      <c r="W54" s="488"/>
      <c r="X54" s="488"/>
      <c r="Y54" s="488"/>
      <c r="Z54" s="555"/>
    </row>
    <row r="55" spans="2:26" ht="15.6" x14ac:dyDescent="0.3">
      <c r="B55" s="540">
        <v>9</v>
      </c>
      <c r="C55" s="541"/>
      <c r="D55" s="1040" t="s">
        <v>426</v>
      </c>
      <c r="E55" s="1040"/>
      <c r="G55" s="543"/>
      <c r="H55" s="543"/>
      <c r="I55" s="543"/>
      <c r="J55" s="543"/>
      <c r="K55" s="543"/>
      <c r="L55" s="543"/>
      <c r="M55" s="543"/>
      <c r="N55" s="544">
        <f>SUM(B163:B164)</f>
        <v>3</v>
      </c>
      <c r="O55" s="545" t="s">
        <v>419</v>
      </c>
      <c r="P55" s="544">
        <v>10</v>
      </c>
      <c r="Q55" s="546"/>
      <c r="R55" s="547"/>
      <c r="S55" s="548"/>
      <c r="T55" s="555"/>
      <c r="U55" s="556"/>
      <c r="V55" s="488"/>
      <c r="W55" s="488"/>
      <c r="X55" s="488"/>
      <c r="Y55" s="488"/>
      <c r="Z55" s="555"/>
    </row>
    <row r="56" spans="2:26" ht="31.5" customHeight="1" x14ac:dyDescent="0.3">
      <c r="B56" s="552">
        <v>9.1</v>
      </c>
      <c r="C56" s="116"/>
      <c r="D56" s="1035" t="str">
        <f ca="1">' '!A189</f>
        <v>Wir sind Partnerorientiert und arbeiten falls notwendig mit ihnen zusammen.</v>
      </c>
      <c r="E56" s="1035"/>
      <c r="G56" s="553"/>
      <c r="H56" s="553"/>
      <c r="I56" s="553"/>
      <c r="J56" s="553"/>
      <c r="K56" s="553"/>
      <c r="L56" s="553"/>
      <c r="M56" s="553"/>
      <c r="N56" s="553"/>
      <c r="O56" s="553"/>
      <c r="P56" s="553"/>
      <c r="Q56" s="553"/>
      <c r="R56" s="547"/>
      <c r="S56" s="554">
        <v>5</v>
      </c>
      <c r="T56" s="555"/>
      <c r="U56" s="556"/>
      <c r="V56" s="488"/>
      <c r="W56" s="488"/>
      <c r="X56" s="488"/>
      <c r="Y56" s="488"/>
      <c r="Z56" s="555"/>
    </row>
    <row r="57" spans="2:26" ht="91.5" customHeight="1" x14ac:dyDescent="0.3">
      <c r="B57" s="552">
        <v>9.1999999999999993</v>
      </c>
      <c r="C57" s="116"/>
      <c r="D57" s="1035" t="str">
        <f ca="1">' '!A190</f>
        <v>Wir pflegen eine gute Zusammenarbeit mit unseren wichtigsten Partnern</v>
      </c>
      <c r="E57" s="1035"/>
      <c r="G57" s="553"/>
      <c r="H57" s="553"/>
      <c r="I57" s="553"/>
      <c r="J57" s="553"/>
      <c r="K57" s="553"/>
      <c r="L57" s="553"/>
      <c r="M57" s="553"/>
      <c r="N57" s="553"/>
      <c r="O57" s="553"/>
      <c r="P57" s="553"/>
      <c r="Q57" s="553"/>
      <c r="R57" s="547"/>
      <c r="S57" s="554">
        <v>5</v>
      </c>
      <c r="T57" s="555"/>
      <c r="U57" s="556"/>
      <c r="V57" s="488"/>
      <c r="W57" s="488"/>
      <c r="X57" s="488"/>
      <c r="Y57" s="488"/>
      <c r="Z57" s="555"/>
    </row>
    <row r="58" spans="2:26" ht="5.25" customHeight="1" x14ac:dyDescent="0.3">
      <c r="B58" s="567"/>
      <c r="D58" s="1043"/>
      <c r="E58" s="1043"/>
      <c r="F58" s="1043"/>
      <c r="G58" s="1043"/>
      <c r="H58" s="1043"/>
      <c r="I58" s="1043"/>
      <c r="J58" s="1043"/>
      <c r="K58" s="1043"/>
      <c r="L58" s="1043"/>
      <c r="M58" s="1043"/>
      <c r="N58" s="1043"/>
      <c r="O58" s="1043"/>
      <c r="P58" s="1043"/>
      <c r="Q58" s="1043"/>
      <c r="R58" s="1043"/>
      <c r="S58" s="1043"/>
      <c r="T58" s="1043"/>
      <c r="U58" s="1043"/>
      <c r="V58" s="568"/>
    </row>
    <row r="59" spans="2:26" ht="13.5" customHeight="1" x14ac:dyDescent="0.3">
      <c r="B59" s="74" t="s">
        <v>2103</v>
      </c>
      <c r="C59" s="97"/>
      <c r="D59" s="570"/>
      <c r="E59" s="571"/>
      <c r="G59" s="572"/>
      <c r="H59" s="572"/>
      <c r="I59" s="572"/>
      <c r="J59" s="572"/>
      <c r="K59" s="572"/>
      <c r="L59" s="572"/>
      <c r="M59" s="572"/>
      <c r="N59" s="572"/>
      <c r="O59" s="572"/>
      <c r="P59" s="572"/>
      <c r="Q59" s="572"/>
      <c r="R59" s="573"/>
      <c r="V59" s="574"/>
      <c r="W59" s="575"/>
      <c r="X59" s="575"/>
    </row>
    <row r="60" spans="2:26" ht="8.25" customHeight="1" x14ac:dyDescent="0.3">
      <c r="B60" s="576"/>
      <c r="C60" s="576"/>
      <c r="D60" s="570"/>
      <c r="E60" s="570"/>
      <c r="G60" s="572"/>
      <c r="H60" s="572"/>
      <c r="I60" s="572"/>
      <c r="J60" s="572"/>
      <c r="K60" s="572"/>
      <c r="L60" s="572"/>
      <c r="M60" s="572"/>
      <c r="N60" s="572"/>
      <c r="O60" s="572"/>
      <c r="P60" s="572"/>
      <c r="Q60" s="572"/>
      <c r="R60" s="573"/>
      <c r="V60" s="574"/>
      <c r="W60" s="575"/>
      <c r="X60" s="575"/>
    </row>
    <row r="61" spans="2:26" ht="14.25" customHeight="1" x14ac:dyDescent="0.3">
      <c r="B61" s="576"/>
      <c r="C61" s="576"/>
      <c r="D61" s="570"/>
      <c r="E61" s="570"/>
      <c r="G61" s="572"/>
      <c r="H61" s="572"/>
      <c r="I61" s="572"/>
      <c r="J61" s="572"/>
      <c r="K61" s="572"/>
      <c r="L61" s="572"/>
      <c r="M61" s="572"/>
      <c r="N61" s="572"/>
      <c r="O61" s="572"/>
      <c r="P61" s="572"/>
      <c r="Q61" s="572"/>
      <c r="R61" s="573"/>
      <c r="V61" s="574"/>
      <c r="W61" s="575"/>
      <c r="X61" s="575"/>
    </row>
    <row r="62" spans="2:26" x14ac:dyDescent="0.3">
      <c r="B62" s="175" t="str">
        <f>D10</f>
        <v>CUSTOMER RELATIONSHIP</v>
      </c>
      <c r="C62" s="175">
        <f>5/P10*N10</f>
        <v>3.25</v>
      </c>
      <c r="D62" s="1043"/>
      <c r="E62" s="1043"/>
      <c r="F62" s="1043"/>
      <c r="G62" s="1043"/>
      <c r="H62" s="1043"/>
      <c r="I62" s="1043"/>
      <c r="J62" s="1043"/>
      <c r="K62" s="1043"/>
      <c r="L62" s="1043"/>
      <c r="M62" s="1043"/>
      <c r="N62" s="1043"/>
      <c r="O62" s="1043"/>
      <c r="P62" s="1043"/>
      <c r="Q62" s="1043"/>
      <c r="R62" s="1043"/>
      <c r="S62" s="1043"/>
      <c r="T62" s="1043"/>
      <c r="U62" s="1043"/>
      <c r="V62" s="568"/>
    </row>
    <row r="63" spans="2:26" x14ac:dyDescent="0.3">
      <c r="B63" s="175" t="str">
        <f>D15</f>
        <v>REVENUE STREAMS</v>
      </c>
      <c r="C63" s="175">
        <f>5/P15*N15</f>
        <v>3.125</v>
      </c>
      <c r="D63" s="1043"/>
      <c r="E63" s="1043"/>
      <c r="F63" s="1043"/>
      <c r="G63" s="1043"/>
      <c r="H63" s="1043"/>
      <c r="I63" s="1043"/>
      <c r="J63" s="1043"/>
      <c r="K63" s="1043"/>
      <c r="L63" s="1043"/>
      <c r="M63" s="1043"/>
      <c r="N63" s="1043"/>
      <c r="O63" s="1043"/>
      <c r="P63" s="1043"/>
      <c r="Q63" s="1043"/>
      <c r="R63" s="1043"/>
      <c r="S63" s="1043"/>
      <c r="T63" s="1043"/>
      <c r="U63" s="1043"/>
      <c r="V63" s="568"/>
    </row>
    <row r="64" spans="2:26" x14ac:dyDescent="0.3">
      <c r="B64" s="175" t="str">
        <f>D24</f>
        <v>COST STRUCTURE</v>
      </c>
      <c r="C64" s="175">
        <f>5/P24*N24</f>
        <v>3.25</v>
      </c>
      <c r="D64" s="1043"/>
      <c r="E64" s="1043"/>
      <c r="F64" s="1043"/>
      <c r="G64" s="1043"/>
      <c r="H64" s="1043"/>
      <c r="I64" s="1043"/>
      <c r="J64" s="1043"/>
      <c r="K64" s="1043"/>
      <c r="L64" s="1043"/>
      <c r="M64" s="1043"/>
      <c r="N64" s="1043"/>
      <c r="O64" s="1043"/>
      <c r="P64" s="1043"/>
      <c r="Q64" s="1043"/>
      <c r="R64" s="1043"/>
      <c r="S64" s="1043"/>
      <c r="T64" s="1043"/>
      <c r="U64" s="1043"/>
      <c r="V64" s="568"/>
    </row>
    <row r="65" spans="2:25" x14ac:dyDescent="0.3">
      <c r="B65" s="175" t="str">
        <f>D29</f>
        <v>CUSTOMER SEGMENTS</v>
      </c>
      <c r="C65" s="175">
        <f>5/P29*N29</f>
        <v>2</v>
      </c>
      <c r="D65" s="1043"/>
      <c r="E65" s="1043"/>
      <c r="F65" s="1043"/>
      <c r="G65" s="1043"/>
      <c r="H65" s="1043"/>
      <c r="I65" s="1043"/>
      <c r="J65" s="1043"/>
      <c r="K65" s="1043"/>
      <c r="L65" s="1043"/>
      <c r="M65" s="1043"/>
      <c r="N65" s="1043"/>
      <c r="O65" s="1043"/>
      <c r="P65" s="1043"/>
      <c r="Q65" s="1043"/>
      <c r="R65" s="1043"/>
      <c r="S65" s="1043"/>
      <c r="T65" s="1043"/>
      <c r="U65" s="1043"/>
      <c r="V65" s="568"/>
    </row>
    <row r="66" spans="2:25" x14ac:dyDescent="0.3">
      <c r="B66" s="175" t="str">
        <f>D33</f>
        <v>CHANNELS</v>
      </c>
      <c r="C66" s="175">
        <f>5/P33*N33</f>
        <v>1.5714285714285714</v>
      </c>
      <c r="D66" s="1043"/>
      <c r="E66" s="1043"/>
      <c r="F66" s="1043"/>
      <c r="G66" s="1043"/>
      <c r="H66" s="1043"/>
      <c r="I66" s="1043"/>
      <c r="J66" s="1043"/>
      <c r="K66" s="1043"/>
      <c r="L66" s="1043"/>
      <c r="M66" s="1043"/>
      <c r="N66" s="1043"/>
      <c r="O66" s="1043"/>
      <c r="P66" s="1043"/>
      <c r="Q66" s="1043"/>
      <c r="R66" s="1043"/>
      <c r="S66" s="1043"/>
      <c r="T66" s="1043"/>
      <c r="U66" s="1043"/>
      <c r="V66" s="568"/>
    </row>
    <row r="67" spans="2:25" x14ac:dyDescent="0.3">
      <c r="B67" s="175" t="str">
        <f>D41</f>
        <v>CUSTOMER RELATIONSHIP</v>
      </c>
      <c r="C67" s="175">
        <f>5/40*23</f>
        <v>2.875</v>
      </c>
      <c r="D67" s="1043"/>
      <c r="E67" s="1043"/>
      <c r="F67" s="1043"/>
      <c r="G67" s="1043"/>
      <c r="H67" s="1043"/>
      <c r="I67" s="1043"/>
      <c r="J67" s="1043"/>
      <c r="K67" s="1043"/>
      <c r="L67" s="1043"/>
      <c r="M67" s="1043"/>
      <c r="N67" s="1043"/>
      <c r="O67" s="1043"/>
      <c r="P67" s="1043"/>
      <c r="Q67" s="1043"/>
      <c r="R67" s="1043"/>
      <c r="S67" s="1043"/>
      <c r="T67" s="1043"/>
      <c r="U67" s="1043"/>
      <c r="V67" s="568"/>
    </row>
    <row r="68" spans="2:25" x14ac:dyDescent="0.3">
      <c r="B68" s="175" t="str">
        <f>D46</f>
        <v>KEY RESSOURCES</v>
      </c>
      <c r="C68" s="175">
        <f>5/P46*N46</f>
        <v>1.3333333333333333</v>
      </c>
      <c r="D68" s="1043"/>
      <c r="E68" s="1043"/>
      <c r="F68" s="1043"/>
      <c r="G68" s="1043"/>
      <c r="H68" s="1043"/>
      <c r="I68" s="1043"/>
      <c r="J68" s="1043"/>
      <c r="K68" s="1043"/>
      <c r="L68" s="1043"/>
      <c r="M68" s="1043"/>
      <c r="N68" s="1043"/>
      <c r="O68" s="1043"/>
      <c r="P68" s="1043"/>
      <c r="Q68" s="1043"/>
      <c r="R68" s="1043"/>
      <c r="S68" s="1043"/>
      <c r="T68" s="1043"/>
      <c r="U68" s="1043"/>
      <c r="V68" s="568"/>
    </row>
    <row r="69" spans="2:25" x14ac:dyDescent="0.3">
      <c r="B69" s="175" t="str">
        <f>D50</f>
        <v>KEY ACTIVITIES</v>
      </c>
      <c r="C69" s="175">
        <f>5/P50*N50</f>
        <v>0.75</v>
      </c>
      <c r="D69" s="1043"/>
      <c r="E69" s="1043"/>
      <c r="F69" s="1043"/>
      <c r="G69" s="1043"/>
      <c r="H69" s="1043"/>
      <c r="I69" s="1043"/>
      <c r="J69" s="1043"/>
      <c r="K69" s="1043"/>
      <c r="L69" s="1043"/>
      <c r="M69" s="1043"/>
      <c r="N69" s="1043"/>
      <c r="O69" s="1043"/>
      <c r="P69" s="1043"/>
      <c r="Q69" s="1043"/>
      <c r="R69" s="1043"/>
      <c r="S69" s="1043"/>
      <c r="T69" s="1043"/>
      <c r="U69" s="1043"/>
      <c r="V69" s="488"/>
      <c r="W69" s="488"/>
      <c r="X69" s="488"/>
      <c r="Y69" s="488"/>
    </row>
    <row r="70" spans="2:25" x14ac:dyDescent="0.3">
      <c r="B70" s="175" t="str">
        <f>D55</f>
        <v>KEY PARTNERSHIP</v>
      </c>
      <c r="C70" s="175">
        <f>5/P55*N55</f>
        <v>1.5</v>
      </c>
      <c r="D70" s="1043"/>
      <c r="E70" s="1043"/>
      <c r="F70" s="1043"/>
      <c r="G70" s="1043"/>
      <c r="H70" s="1043"/>
      <c r="I70" s="1043"/>
      <c r="J70" s="1043"/>
      <c r="K70" s="1043"/>
      <c r="L70" s="1043"/>
      <c r="M70" s="1043"/>
      <c r="N70" s="1043"/>
      <c r="O70" s="1043"/>
      <c r="P70" s="1043"/>
      <c r="Q70" s="1043"/>
      <c r="R70" s="1043"/>
      <c r="S70" s="1043"/>
      <c r="T70" s="1043"/>
      <c r="U70" s="1043"/>
      <c r="V70" s="488"/>
      <c r="W70" s="488"/>
      <c r="X70" s="488"/>
      <c r="Y70" s="488"/>
    </row>
    <row r="71" spans="2:25" x14ac:dyDescent="0.3">
      <c r="B71" s="577"/>
      <c r="C71" s="172"/>
      <c r="D71" s="1043"/>
      <c r="E71" s="1043"/>
      <c r="F71" s="1043"/>
      <c r="G71" s="1043"/>
      <c r="H71" s="1043"/>
      <c r="I71" s="1043"/>
      <c r="J71" s="1043"/>
      <c r="K71" s="1043"/>
      <c r="L71" s="1043"/>
      <c r="M71" s="1043"/>
      <c r="N71" s="1043"/>
      <c r="O71" s="1043"/>
      <c r="P71" s="1043"/>
      <c r="Q71" s="1043"/>
      <c r="R71" s="1043"/>
      <c r="S71" s="1043"/>
      <c r="T71" s="1043"/>
      <c r="U71" s="1043"/>
      <c r="V71" s="488"/>
      <c r="W71" s="488"/>
      <c r="X71" s="488"/>
      <c r="Y71" s="488"/>
    </row>
    <row r="72" spans="2:25" x14ac:dyDescent="0.3">
      <c r="B72" s="577"/>
      <c r="C72" s="172"/>
      <c r="D72" s="1043"/>
      <c r="E72" s="1043"/>
      <c r="F72" s="1043"/>
      <c r="G72" s="1043"/>
      <c r="H72" s="1043"/>
      <c r="I72" s="1043"/>
      <c r="J72" s="1043"/>
      <c r="K72" s="1043"/>
      <c r="L72" s="1043"/>
      <c r="M72" s="1043"/>
      <c r="N72" s="1043"/>
      <c r="O72" s="1043"/>
      <c r="P72" s="1043"/>
      <c r="Q72" s="1043"/>
      <c r="R72" s="1043"/>
      <c r="S72" s="1043"/>
      <c r="T72" s="1043"/>
      <c r="U72" s="1043"/>
      <c r="V72" s="488"/>
      <c r="W72" s="488"/>
      <c r="X72" s="488"/>
      <c r="Y72" s="488"/>
    </row>
    <row r="73" spans="2:25" x14ac:dyDescent="0.3">
      <c r="B73" s="577"/>
      <c r="C73" s="172"/>
      <c r="D73" s="1043"/>
      <c r="E73" s="1043"/>
      <c r="F73" s="1043"/>
      <c r="G73" s="1043"/>
      <c r="H73" s="1043"/>
      <c r="I73" s="1043"/>
      <c r="J73" s="1043"/>
      <c r="K73" s="1043"/>
      <c r="L73" s="1043"/>
      <c r="M73" s="1043"/>
      <c r="N73" s="1043"/>
      <c r="O73" s="1043"/>
      <c r="P73" s="1043"/>
      <c r="Q73" s="1043"/>
      <c r="R73" s="1043"/>
      <c r="S73" s="1043"/>
      <c r="T73" s="1043"/>
      <c r="U73" s="1043"/>
      <c r="V73" s="488"/>
      <c r="W73" s="488"/>
      <c r="X73" s="488"/>
      <c r="Y73" s="488"/>
    </row>
    <row r="74" spans="2:25" x14ac:dyDescent="0.3">
      <c r="B74" s="577"/>
      <c r="C74" s="172"/>
      <c r="D74" s="1043"/>
      <c r="E74" s="1043"/>
      <c r="F74" s="1043"/>
      <c r="G74" s="1043"/>
      <c r="H74" s="1043"/>
      <c r="I74" s="1043"/>
      <c r="J74" s="1043"/>
      <c r="K74" s="1043"/>
      <c r="L74" s="1043"/>
      <c r="M74" s="1043"/>
      <c r="N74" s="1043"/>
      <c r="O74" s="1043"/>
      <c r="P74" s="1043"/>
      <c r="Q74" s="1043"/>
      <c r="R74" s="1043"/>
      <c r="S74" s="1043"/>
      <c r="T74" s="1043"/>
      <c r="U74" s="1043"/>
      <c r="V74" s="488"/>
      <c r="W74" s="488"/>
      <c r="X74" s="488"/>
      <c r="Y74" s="488"/>
    </row>
    <row r="75" spans="2:25" x14ac:dyDescent="0.3">
      <c r="B75" s="175"/>
      <c r="C75" s="172"/>
    </row>
    <row r="76" spans="2:25" x14ac:dyDescent="0.3">
      <c r="B76" s="175"/>
      <c r="C76" s="172"/>
    </row>
    <row r="96" spans="1:1" ht="0.9" customHeight="1" x14ac:dyDescent="0.3">
      <c r="A96" s="535"/>
    </row>
    <row r="97" spans="2:27" x14ac:dyDescent="0.3">
      <c r="B97" s="97"/>
      <c r="C97" s="97"/>
      <c r="Z97" s="579"/>
      <c r="AA97" s="580"/>
    </row>
    <row r="98" spans="2:27" x14ac:dyDescent="0.3">
      <c r="Z98" s="579"/>
      <c r="AA98" s="580"/>
    </row>
    <row r="99" spans="2:27" x14ac:dyDescent="0.3">
      <c r="Z99" s="579"/>
      <c r="AA99" s="580"/>
    </row>
    <row r="100" spans="2:27" x14ac:dyDescent="0.3">
      <c r="Z100" s="579"/>
      <c r="AA100" s="580"/>
    </row>
    <row r="101" spans="2:27" x14ac:dyDescent="0.3">
      <c r="Z101" s="579"/>
      <c r="AA101" s="580"/>
    </row>
    <row r="102" spans="2:27" x14ac:dyDescent="0.3">
      <c r="Z102" s="579"/>
      <c r="AA102" s="580"/>
    </row>
    <row r="103" spans="2:27" x14ac:dyDescent="0.3">
      <c r="Z103" s="579"/>
      <c r="AA103" s="580"/>
    </row>
    <row r="104" spans="2:27" x14ac:dyDescent="0.3">
      <c r="Z104" s="579"/>
      <c r="AA104" s="580"/>
    </row>
    <row r="105" spans="2:27" x14ac:dyDescent="0.3">
      <c r="Z105" s="579"/>
      <c r="AA105" s="580"/>
    </row>
    <row r="106" spans="2:27" x14ac:dyDescent="0.3">
      <c r="Z106" s="579"/>
      <c r="AA106" s="580"/>
    </row>
    <row r="107" spans="2:27" x14ac:dyDescent="0.3">
      <c r="Z107" s="579"/>
      <c r="AA107" s="580"/>
    </row>
    <row r="108" spans="2:27" x14ac:dyDescent="0.3">
      <c r="Z108" s="579"/>
      <c r="AA108" s="580"/>
    </row>
    <row r="109" spans="2:27" x14ac:dyDescent="0.3">
      <c r="Z109" s="579"/>
      <c r="AA109" s="580"/>
    </row>
    <row r="110" spans="2:27" x14ac:dyDescent="0.3">
      <c r="Z110" s="579"/>
      <c r="AA110" s="580"/>
    </row>
    <row r="111" spans="2:27" x14ac:dyDescent="0.3">
      <c r="Z111" s="579"/>
      <c r="AA111" s="580"/>
    </row>
    <row r="112" spans="2:27" x14ac:dyDescent="0.3">
      <c r="Z112" s="579"/>
      <c r="AA112" s="580"/>
    </row>
    <row r="113" spans="1:27" x14ac:dyDescent="0.3">
      <c r="Z113" s="579"/>
      <c r="AA113" s="580"/>
    </row>
    <row r="114" spans="1:27" x14ac:dyDescent="0.3">
      <c r="A114" s="568"/>
      <c r="B114" s="539"/>
      <c r="C114" s="539"/>
      <c r="D114" s="172"/>
      <c r="Z114" s="579"/>
      <c r="AA114" s="580"/>
    </row>
    <row r="115" spans="1:27" x14ac:dyDescent="0.3">
      <c r="A115" s="604">
        <f>A117/390</f>
        <v>0.53846153846153844</v>
      </c>
      <c r="B115" s="605">
        <f>(B117/195)</f>
        <v>0.43076923076923079</v>
      </c>
      <c r="C115" s="605" t="s">
        <v>427</v>
      </c>
      <c r="D115" s="605">
        <f>(D117/1950)</f>
        <v>0.24102564102564103</v>
      </c>
      <c r="E115" s="583"/>
      <c r="F115" s="584"/>
      <c r="G115" s="583"/>
      <c r="H115" s="606"/>
      <c r="I115" s="607" t="s">
        <v>428</v>
      </c>
      <c r="J115" s="585"/>
      <c r="Z115" s="579"/>
      <c r="AA115" s="580"/>
    </row>
    <row r="116" spans="1:27" x14ac:dyDescent="0.3">
      <c r="A116" s="608"/>
      <c r="B116" s="609"/>
      <c r="C116" s="609"/>
      <c r="D116" s="609"/>
      <c r="E116" s="588"/>
      <c r="F116" s="579"/>
      <c r="G116" s="588"/>
      <c r="H116" s="610">
        <v>1</v>
      </c>
      <c r="I116" s="611">
        <f>COUNTIF(B118:B164,1)</f>
        <v>2</v>
      </c>
      <c r="J116" s="589"/>
      <c r="Z116" s="579"/>
      <c r="AA116" s="580"/>
    </row>
    <row r="117" spans="1:27" x14ac:dyDescent="0.3">
      <c r="A117" s="586">
        <f>SUM(A118:A164)</f>
        <v>210</v>
      </c>
      <c r="B117" s="609">
        <f>SUM(B118:B164)</f>
        <v>84</v>
      </c>
      <c r="C117" s="609"/>
      <c r="D117" s="609">
        <f>SUM(D118:D164)</f>
        <v>470</v>
      </c>
      <c r="E117" s="588"/>
      <c r="F117" s="579"/>
      <c r="G117" s="588"/>
      <c r="H117" s="610">
        <v>2</v>
      </c>
      <c r="I117" s="611">
        <f>COUNTIF(B118:B164,2)</f>
        <v>8</v>
      </c>
      <c r="J117" s="612"/>
      <c r="Z117" s="579"/>
      <c r="AA117" s="580"/>
    </row>
    <row r="118" spans="1:27" x14ac:dyDescent="0.3">
      <c r="A118" s="586">
        <f>S11</f>
        <v>9</v>
      </c>
      <c r="B118" s="587">
        <v>3</v>
      </c>
      <c r="C118" s="609">
        <v>1</v>
      </c>
      <c r="D118" s="609">
        <f>B118*S11</f>
        <v>27</v>
      </c>
      <c r="E118" s="613"/>
      <c r="F118" s="579"/>
      <c r="G118" s="588"/>
      <c r="H118" s="610">
        <v>3</v>
      </c>
      <c r="I118" s="611">
        <f>COUNTIF(B118:B164,3)</f>
        <v>9</v>
      </c>
      <c r="J118" s="614"/>
      <c r="Z118" s="579"/>
      <c r="AA118" s="580"/>
    </row>
    <row r="119" spans="1:27" x14ac:dyDescent="0.3">
      <c r="A119" s="586">
        <f>S12</f>
        <v>7</v>
      </c>
      <c r="B119" s="587">
        <v>4</v>
      </c>
      <c r="C119" s="609">
        <v>1</v>
      </c>
      <c r="D119" s="609">
        <f>B119*S12</f>
        <v>28</v>
      </c>
      <c r="E119" s="588"/>
      <c r="F119" s="579"/>
      <c r="G119" s="588"/>
      <c r="H119" s="610">
        <v>4</v>
      </c>
      <c r="I119" s="611">
        <f>COUNTIF(B118:B164,4)</f>
        <v>6</v>
      </c>
      <c r="J119" s="612"/>
      <c r="Z119" s="579"/>
      <c r="AA119" s="580"/>
    </row>
    <row r="120" spans="1:27" x14ac:dyDescent="0.3">
      <c r="A120" s="586">
        <f>S13</f>
        <v>5</v>
      </c>
      <c r="B120" s="587">
        <v>3</v>
      </c>
      <c r="C120" s="609">
        <v>1</v>
      </c>
      <c r="D120" s="609">
        <f>B120*S13</f>
        <v>15</v>
      </c>
      <c r="E120" s="588"/>
      <c r="F120" s="579"/>
      <c r="G120" s="588"/>
      <c r="H120" s="610">
        <v>5</v>
      </c>
      <c r="I120" s="611">
        <f>COUNTIF(B118:B164,5)</f>
        <v>3</v>
      </c>
      <c r="J120" s="612"/>
      <c r="Z120" s="579"/>
      <c r="AA120" s="580"/>
    </row>
    <row r="121" spans="1:27" x14ac:dyDescent="0.3">
      <c r="A121" s="586">
        <f>S14</f>
        <v>3</v>
      </c>
      <c r="B121" s="587">
        <v>3</v>
      </c>
      <c r="C121" s="609">
        <v>1</v>
      </c>
      <c r="D121" s="609">
        <f>B121*S14</f>
        <v>9</v>
      </c>
      <c r="E121" s="588"/>
      <c r="F121" s="579"/>
      <c r="G121" s="588"/>
      <c r="H121" s="615"/>
      <c r="I121" s="588"/>
      <c r="J121" s="612"/>
      <c r="Z121" s="579"/>
      <c r="AA121" s="580"/>
    </row>
    <row r="122" spans="1:27" x14ac:dyDescent="0.3">
      <c r="A122" s="586"/>
      <c r="B122" s="587"/>
      <c r="C122" s="609"/>
      <c r="D122" s="609"/>
      <c r="E122" s="588"/>
      <c r="F122" s="579"/>
      <c r="G122" s="588"/>
      <c r="H122" s="615"/>
      <c r="I122" s="588"/>
      <c r="J122" s="612"/>
      <c r="Z122" s="579"/>
      <c r="AA122" s="580"/>
    </row>
    <row r="123" spans="1:27" x14ac:dyDescent="0.3">
      <c r="A123" s="586">
        <f t="shared" ref="A123:A130" si="0">S16</f>
        <v>5</v>
      </c>
      <c r="B123" s="587">
        <v>5</v>
      </c>
      <c r="C123" s="609">
        <v>1</v>
      </c>
      <c r="D123" s="609">
        <f t="shared" ref="D123:D130" si="1">B123*S16</f>
        <v>25</v>
      </c>
      <c r="E123" s="588"/>
      <c r="F123" s="579"/>
      <c r="G123" s="588"/>
      <c r="H123" s="615"/>
      <c r="I123" s="588"/>
      <c r="J123" s="612"/>
      <c r="Z123" s="579"/>
      <c r="AA123" s="580"/>
    </row>
    <row r="124" spans="1:27" x14ac:dyDescent="0.3">
      <c r="A124" s="586">
        <f t="shared" si="0"/>
        <v>4</v>
      </c>
      <c r="B124" s="587">
        <v>2</v>
      </c>
      <c r="C124" s="609">
        <v>1</v>
      </c>
      <c r="D124" s="609">
        <f t="shared" si="1"/>
        <v>8</v>
      </c>
      <c r="E124" s="588"/>
      <c r="F124" s="579"/>
      <c r="G124" s="588"/>
      <c r="H124" s="615"/>
      <c r="I124" s="588"/>
      <c r="J124" s="612"/>
      <c r="Z124" s="579"/>
      <c r="AA124" s="580"/>
    </row>
    <row r="125" spans="1:27" x14ac:dyDescent="0.3">
      <c r="A125" s="586">
        <f t="shared" si="0"/>
        <v>8</v>
      </c>
      <c r="B125" s="587">
        <v>4</v>
      </c>
      <c r="C125" s="609">
        <v>1</v>
      </c>
      <c r="D125" s="609">
        <f t="shared" si="1"/>
        <v>32</v>
      </c>
      <c r="E125" s="588"/>
      <c r="F125" s="579"/>
      <c r="G125" s="588"/>
      <c r="H125" s="615"/>
      <c r="I125" s="588"/>
      <c r="J125" s="612"/>
      <c r="Z125" s="579"/>
      <c r="AA125" s="580"/>
    </row>
    <row r="126" spans="1:27" x14ac:dyDescent="0.3">
      <c r="A126" s="586">
        <f t="shared" si="0"/>
        <v>8</v>
      </c>
      <c r="B126" s="587">
        <v>4</v>
      </c>
      <c r="C126" s="609">
        <v>1</v>
      </c>
      <c r="D126" s="609">
        <f t="shared" si="1"/>
        <v>32</v>
      </c>
      <c r="E126" s="588"/>
      <c r="F126" s="579"/>
      <c r="G126" s="588"/>
      <c r="H126" s="615"/>
      <c r="I126" s="588"/>
      <c r="J126" s="612"/>
      <c r="Z126" s="579"/>
      <c r="AA126" s="580"/>
    </row>
    <row r="127" spans="1:27" x14ac:dyDescent="0.3">
      <c r="A127" s="586">
        <f t="shared" si="0"/>
        <v>5</v>
      </c>
      <c r="B127" s="587">
        <v>3</v>
      </c>
      <c r="C127" s="609">
        <v>1</v>
      </c>
      <c r="D127" s="609">
        <f t="shared" si="1"/>
        <v>15</v>
      </c>
      <c r="E127" s="588"/>
      <c r="F127" s="579"/>
      <c r="G127" s="588"/>
      <c r="H127" s="615"/>
      <c r="I127" s="588"/>
      <c r="J127" s="612"/>
      <c r="Z127" s="579"/>
      <c r="AA127" s="580"/>
    </row>
    <row r="128" spans="1:27" x14ac:dyDescent="0.3">
      <c r="A128" s="586">
        <f t="shared" si="0"/>
        <v>9</v>
      </c>
      <c r="B128" s="587">
        <v>2</v>
      </c>
      <c r="C128" s="609">
        <v>1</v>
      </c>
      <c r="D128" s="609">
        <f t="shared" si="1"/>
        <v>18</v>
      </c>
      <c r="E128" s="588"/>
      <c r="F128" s="579"/>
      <c r="G128" s="588"/>
      <c r="H128" s="615"/>
      <c r="I128" s="588"/>
      <c r="J128" s="612"/>
      <c r="Z128" s="579"/>
      <c r="AA128" s="580"/>
    </row>
    <row r="129" spans="1:27" x14ac:dyDescent="0.3">
      <c r="A129" s="586">
        <f t="shared" si="0"/>
        <v>5</v>
      </c>
      <c r="B129" s="587">
        <v>2</v>
      </c>
      <c r="C129" s="609">
        <v>1</v>
      </c>
      <c r="D129" s="609">
        <f t="shared" si="1"/>
        <v>10</v>
      </c>
      <c r="E129" s="588"/>
      <c r="F129" s="579"/>
      <c r="G129" s="588"/>
      <c r="H129" s="615"/>
      <c r="I129" s="588"/>
      <c r="J129" s="612"/>
      <c r="Z129" s="579"/>
      <c r="AA129" s="580"/>
    </row>
    <row r="130" spans="1:27" x14ac:dyDescent="0.3">
      <c r="A130" s="586">
        <f t="shared" si="0"/>
        <v>7</v>
      </c>
      <c r="B130" s="587">
        <v>3</v>
      </c>
      <c r="C130" s="609">
        <v>1</v>
      </c>
      <c r="D130" s="609">
        <f t="shared" si="1"/>
        <v>21</v>
      </c>
      <c r="E130" s="588"/>
      <c r="F130" s="579"/>
      <c r="G130" s="588"/>
      <c r="H130" s="615"/>
      <c r="I130" s="588"/>
      <c r="J130" s="612"/>
      <c r="V130" s="579"/>
      <c r="W130" s="591"/>
      <c r="X130" s="591"/>
      <c r="Y130" s="579"/>
      <c r="Z130" s="579"/>
      <c r="AA130" s="580"/>
    </row>
    <row r="131" spans="1:27" x14ac:dyDescent="0.3">
      <c r="A131" s="586"/>
      <c r="B131" s="587"/>
      <c r="C131" s="609"/>
      <c r="D131" s="609"/>
      <c r="E131" s="588"/>
      <c r="F131" s="579"/>
      <c r="G131" s="588"/>
      <c r="H131" s="615"/>
      <c r="I131" s="588"/>
      <c r="J131" s="612"/>
    </row>
    <row r="132" spans="1:27" x14ac:dyDescent="0.3">
      <c r="A132" s="586">
        <f>S25</f>
        <v>5</v>
      </c>
      <c r="B132" s="587">
        <v>5</v>
      </c>
      <c r="C132" s="609">
        <v>1</v>
      </c>
      <c r="D132" s="609">
        <f>B132*S25</f>
        <v>25</v>
      </c>
      <c r="E132" s="588"/>
      <c r="F132" s="579"/>
      <c r="G132" s="588"/>
      <c r="H132" s="615"/>
      <c r="I132" s="588"/>
      <c r="J132" s="612"/>
    </row>
    <row r="133" spans="1:27" x14ac:dyDescent="0.3">
      <c r="A133" s="586">
        <f>S26</f>
        <v>5</v>
      </c>
      <c r="B133" s="587">
        <v>4</v>
      </c>
      <c r="C133" s="609">
        <v>1</v>
      </c>
      <c r="D133" s="609">
        <f>B133*S26</f>
        <v>20</v>
      </c>
      <c r="E133" s="588"/>
      <c r="F133" s="579"/>
      <c r="G133" s="588"/>
      <c r="H133" s="615"/>
      <c r="I133" s="588"/>
      <c r="J133" s="612"/>
    </row>
    <row r="134" spans="1:27" x14ac:dyDescent="0.3">
      <c r="A134" s="586">
        <f>S27</f>
        <v>5</v>
      </c>
      <c r="B134" s="587">
        <v>2</v>
      </c>
      <c r="C134" s="609">
        <v>1</v>
      </c>
      <c r="D134" s="609">
        <f>B134*S27</f>
        <v>10</v>
      </c>
      <c r="E134" s="588"/>
      <c r="F134" s="579"/>
      <c r="G134" s="588"/>
      <c r="H134" s="615"/>
      <c r="I134" s="588"/>
      <c r="J134" s="612"/>
    </row>
    <row r="135" spans="1:27" x14ac:dyDescent="0.3">
      <c r="A135" s="586">
        <f>S28</f>
        <v>5</v>
      </c>
      <c r="B135" s="587">
        <v>2</v>
      </c>
      <c r="C135" s="609">
        <v>1</v>
      </c>
      <c r="D135" s="609">
        <f>B135*S28</f>
        <v>10</v>
      </c>
      <c r="E135" s="588"/>
      <c r="F135" s="579"/>
      <c r="G135" s="588"/>
      <c r="H135" s="615"/>
      <c r="I135" s="588"/>
      <c r="J135" s="612"/>
    </row>
    <row r="136" spans="1:27" x14ac:dyDescent="0.3">
      <c r="A136" s="586"/>
      <c r="B136" s="587"/>
      <c r="C136" s="609"/>
      <c r="D136" s="609"/>
      <c r="E136" s="588"/>
      <c r="F136" s="579"/>
      <c r="G136" s="588"/>
      <c r="H136" s="615"/>
      <c r="I136" s="588"/>
      <c r="J136" s="612"/>
    </row>
    <row r="137" spans="1:27" x14ac:dyDescent="0.3">
      <c r="A137" s="586">
        <f>S30</f>
        <v>5</v>
      </c>
      <c r="B137" s="587">
        <v>3</v>
      </c>
      <c r="C137" s="609">
        <v>1</v>
      </c>
      <c r="D137" s="609">
        <f>B137*S30</f>
        <v>15</v>
      </c>
      <c r="E137" s="588"/>
      <c r="F137" s="579"/>
      <c r="G137" s="588"/>
      <c r="H137" s="615"/>
      <c r="I137" s="588"/>
      <c r="J137" s="612"/>
    </row>
    <row r="138" spans="1:27" x14ac:dyDescent="0.3">
      <c r="A138" s="586">
        <f>S31</f>
        <v>5</v>
      </c>
      <c r="B138" s="587">
        <v>2</v>
      </c>
      <c r="C138" s="609">
        <v>1</v>
      </c>
      <c r="D138" s="609">
        <f>B138*S31</f>
        <v>10</v>
      </c>
      <c r="E138" s="588"/>
      <c r="F138" s="579"/>
      <c r="G138" s="588"/>
      <c r="H138" s="615"/>
      <c r="I138" s="588"/>
      <c r="J138" s="612"/>
    </row>
    <row r="139" spans="1:27" x14ac:dyDescent="0.3">
      <c r="A139" s="586">
        <f>S32</f>
        <v>5</v>
      </c>
      <c r="B139" s="587">
        <v>1</v>
      </c>
      <c r="C139" s="609">
        <v>1</v>
      </c>
      <c r="D139" s="609">
        <f>B139*S32</f>
        <v>5</v>
      </c>
      <c r="E139" s="588"/>
      <c r="F139" s="579"/>
      <c r="G139" s="588"/>
      <c r="H139" s="615"/>
      <c r="I139" s="588"/>
      <c r="J139" s="612"/>
    </row>
    <row r="140" spans="1:27" x14ac:dyDescent="0.3">
      <c r="A140" s="586"/>
      <c r="B140" s="587"/>
      <c r="C140" s="609"/>
      <c r="D140" s="609"/>
      <c r="E140" s="588"/>
      <c r="F140" s="579"/>
      <c r="G140" s="588"/>
      <c r="H140" s="615"/>
      <c r="I140" s="588"/>
      <c r="J140" s="612"/>
    </row>
    <row r="141" spans="1:27" x14ac:dyDescent="0.3">
      <c r="A141" s="586">
        <f t="shared" ref="A141:A147" si="2">S34</f>
        <v>5</v>
      </c>
      <c r="B141" s="587">
        <v>1</v>
      </c>
      <c r="C141" s="609">
        <v>1</v>
      </c>
      <c r="D141" s="609">
        <f t="shared" ref="D141:D147" si="3">B141*S34</f>
        <v>5</v>
      </c>
      <c r="E141" s="588"/>
      <c r="F141" s="579"/>
      <c r="G141" s="588"/>
      <c r="H141" s="615"/>
      <c r="I141" s="588"/>
      <c r="J141" s="612"/>
    </row>
    <row r="142" spans="1:27" x14ac:dyDescent="0.3">
      <c r="A142" s="586">
        <f t="shared" si="2"/>
        <v>5</v>
      </c>
      <c r="B142" s="587">
        <v>3</v>
      </c>
      <c r="C142" s="609">
        <v>1</v>
      </c>
      <c r="D142" s="609">
        <f t="shared" si="3"/>
        <v>15</v>
      </c>
      <c r="E142" s="588"/>
      <c r="F142" s="579"/>
      <c r="G142" s="588"/>
      <c r="H142" s="615"/>
      <c r="I142" s="588"/>
      <c r="J142" s="612"/>
    </row>
    <row r="143" spans="1:27" x14ac:dyDescent="0.3">
      <c r="A143" s="586">
        <f t="shared" si="2"/>
        <v>5</v>
      </c>
      <c r="B143" s="587">
        <v>5</v>
      </c>
      <c r="C143" s="609">
        <v>1</v>
      </c>
      <c r="D143" s="609">
        <f t="shared" si="3"/>
        <v>25</v>
      </c>
      <c r="E143" s="588"/>
      <c r="F143" s="579"/>
      <c r="G143" s="588"/>
      <c r="H143" s="615"/>
      <c r="I143" s="588"/>
      <c r="J143" s="612"/>
    </row>
    <row r="144" spans="1:27" x14ac:dyDescent="0.3">
      <c r="A144" s="586">
        <f t="shared" si="2"/>
        <v>5</v>
      </c>
      <c r="B144" s="587">
        <v>2</v>
      </c>
      <c r="C144" s="609">
        <v>1</v>
      </c>
      <c r="D144" s="609">
        <f t="shared" si="3"/>
        <v>10</v>
      </c>
      <c r="E144" s="588"/>
      <c r="F144" s="579"/>
      <c r="G144" s="588"/>
      <c r="H144" s="615"/>
      <c r="I144" s="588"/>
      <c r="J144" s="612"/>
    </row>
    <row r="145" spans="1:10" x14ac:dyDescent="0.3">
      <c r="A145" s="586">
        <f t="shared" si="2"/>
        <v>5</v>
      </c>
      <c r="B145" s="587"/>
      <c r="C145" s="609">
        <v>1</v>
      </c>
      <c r="D145" s="609">
        <f t="shared" si="3"/>
        <v>0</v>
      </c>
      <c r="E145" s="588"/>
      <c r="F145" s="579"/>
      <c r="G145" s="588"/>
      <c r="H145" s="615"/>
      <c r="I145" s="588"/>
      <c r="J145" s="612"/>
    </row>
    <row r="146" spans="1:10" x14ac:dyDescent="0.3">
      <c r="A146" s="586">
        <f t="shared" si="2"/>
        <v>5</v>
      </c>
      <c r="B146" s="587"/>
      <c r="C146" s="609">
        <v>1</v>
      </c>
      <c r="D146" s="609">
        <f t="shared" si="3"/>
        <v>0</v>
      </c>
      <c r="E146" s="588"/>
      <c r="F146" s="579"/>
      <c r="G146" s="588"/>
      <c r="H146" s="615"/>
      <c r="I146" s="588"/>
      <c r="J146" s="612"/>
    </row>
    <row r="147" spans="1:10" x14ac:dyDescent="0.3">
      <c r="A147" s="586">
        <f t="shared" si="2"/>
        <v>5</v>
      </c>
      <c r="B147" s="587"/>
      <c r="C147" s="609">
        <v>1</v>
      </c>
      <c r="D147" s="609">
        <f t="shared" si="3"/>
        <v>0</v>
      </c>
      <c r="E147" s="588"/>
      <c r="F147" s="579"/>
      <c r="G147" s="588"/>
      <c r="H147" s="615"/>
      <c r="I147" s="588"/>
      <c r="J147" s="612"/>
    </row>
    <row r="148" spans="1:10" x14ac:dyDescent="0.3">
      <c r="A148" s="616"/>
      <c r="B148" s="617"/>
      <c r="C148" s="618"/>
      <c r="D148" s="618"/>
      <c r="E148" s="588"/>
      <c r="F148" s="579"/>
      <c r="G148" s="588"/>
      <c r="H148" s="615"/>
      <c r="I148" s="588"/>
      <c r="J148" s="612"/>
    </row>
    <row r="149" spans="1:10" x14ac:dyDescent="0.3">
      <c r="A149" s="586">
        <f>S42</f>
        <v>5</v>
      </c>
      <c r="B149" s="587"/>
      <c r="C149" s="609">
        <v>1</v>
      </c>
      <c r="D149" s="609">
        <f>B149*S42</f>
        <v>0</v>
      </c>
      <c r="E149" s="588"/>
      <c r="F149" s="579"/>
      <c r="G149" s="588"/>
      <c r="H149" s="615"/>
      <c r="I149" s="588"/>
      <c r="J149" s="612"/>
    </row>
    <row r="150" spans="1:10" x14ac:dyDescent="0.3">
      <c r="A150" s="586">
        <f>S43</f>
        <v>5</v>
      </c>
      <c r="B150" s="587">
        <v>4</v>
      </c>
      <c r="C150" s="609">
        <v>1</v>
      </c>
      <c r="D150" s="609">
        <f>B150*S43</f>
        <v>20</v>
      </c>
      <c r="E150" s="588"/>
      <c r="F150" s="579"/>
      <c r="G150" s="588"/>
      <c r="H150" s="615"/>
      <c r="I150" s="588"/>
      <c r="J150" s="612"/>
    </row>
    <row r="151" spans="1:10" x14ac:dyDescent="0.3">
      <c r="A151" s="586">
        <f>S44</f>
        <v>5</v>
      </c>
      <c r="B151" s="587">
        <v>2</v>
      </c>
      <c r="C151" s="609">
        <v>1</v>
      </c>
      <c r="D151" s="609">
        <f>B151*S44</f>
        <v>10</v>
      </c>
      <c r="E151" s="588"/>
      <c r="F151" s="579"/>
      <c r="G151" s="588"/>
      <c r="H151" s="615"/>
      <c r="I151" s="588"/>
      <c r="J151" s="612"/>
    </row>
    <row r="152" spans="1:10" x14ac:dyDescent="0.3">
      <c r="A152" s="586">
        <f>S45</f>
        <v>5</v>
      </c>
      <c r="B152" s="587"/>
      <c r="C152" s="609">
        <v>1</v>
      </c>
      <c r="D152" s="609">
        <f>B152*S45</f>
        <v>0</v>
      </c>
      <c r="E152" s="588"/>
      <c r="F152" s="579"/>
      <c r="G152" s="588"/>
      <c r="H152" s="615"/>
      <c r="I152" s="588"/>
      <c r="J152" s="612"/>
    </row>
    <row r="153" spans="1:10" x14ac:dyDescent="0.3">
      <c r="A153" s="616"/>
      <c r="B153" s="617"/>
      <c r="C153" s="618"/>
      <c r="D153" s="618"/>
      <c r="E153" s="588"/>
      <c r="F153" s="579"/>
      <c r="G153" s="588"/>
      <c r="H153" s="615"/>
      <c r="I153" s="588"/>
      <c r="J153" s="612"/>
    </row>
    <row r="154" spans="1:10" x14ac:dyDescent="0.3">
      <c r="A154" s="586">
        <f>S47</f>
        <v>5</v>
      </c>
      <c r="B154" s="587">
        <v>4</v>
      </c>
      <c r="C154" s="609">
        <v>1</v>
      </c>
      <c r="D154" s="609">
        <f>B154*S47</f>
        <v>20</v>
      </c>
      <c r="E154" s="588"/>
      <c r="F154" s="579"/>
      <c r="G154" s="588"/>
      <c r="H154" s="615"/>
      <c r="I154" s="588"/>
      <c r="J154" s="612"/>
    </row>
    <row r="155" spans="1:10" x14ac:dyDescent="0.3">
      <c r="A155" s="586">
        <f>S48</f>
        <v>5</v>
      </c>
      <c r="B155" s="587"/>
      <c r="C155" s="609">
        <v>1</v>
      </c>
      <c r="D155" s="609">
        <f>B155*S48</f>
        <v>0</v>
      </c>
      <c r="E155" s="588"/>
      <c r="F155" s="579"/>
      <c r="G155" s="588"/>
      <c r="H155" s="615"/>
      <c r="I155" s="588"/>
      <c r="J155" s="612"/>
    </row>
    <row r="156" spans="1:10" x14ac:dyDescent="0.3">
      <c r="A156" s="586">
        <f>S49</f>
        <v>5</v>
      </c>
      <c r="B156" s="587"/>
      <c r="C156" s="609">
        <v>1</v>
      </c>
      <c r="D156" s="609">
        <f>B156*S49</f>
        <v>0</v>
      </c>
      <c r="E156" s="588"/>
      <c r="F156" s="579"/>
      <c r="G156" s="588"/>
      <c r="H156" s="615"/>
      <c r="I156" s="588"/>
      <c r="J156" s="612"/>
    </row>
    <row r="157" spans="1:10" x14ac:dyDescent="0.3">
      <c r="A157" s="616"/>
      <c r="B157" s="617"/>
      <c r="C157" s="618"/>
      <c r="D157" s="618"/>
      <c r="E157" s="588"/>
      <c r="F157" s="579"/>
      <c r="G157" s="588"/>
      <c r="H157" s="615"/>
      <c r="I157" s="588"/>
      <c r="J157" s="612"/>
    </row>
    <row r="158" spans="1:10" x14ac:dyDescent="0.3">
      <c r="A158" s="586">
        <f>S51</f>
        <v>5</v>
      </c>
      <c r="B158" s="587">
        <v>3</v>
      </c>
      <c r="C158" s="609">
        <v>1</v>
      </c>
      <c r="D158" s="609">
        <f>B158*S51</f>
        <v>15</v>
      </c>
      <c r="E158" s="588"/>
      <c r="F158" s="579"/>
      <c r="G158" s="588"/>
      <c r="H158" s="615"/>
      <c r="I158" s="588"/>
      <c r="J158" s="612"/>
    </row>
    <row r="159" spans="1:10" x14ac:dyDescent="0.3">
      <c r="A159" s="586">
        <f>S52</f>
        <v>5</v>
      </c>
      <c r="B159" s="587"/>
      <c r="C159" s="609">
        <v>1</v>
      </c>
      <c r="D159" s="609">
        <f>B159*S52</f>
        <v>0</v>
      </c>
      <c r="E159" s="588"/>
      <c r="F159" s="579"/>
      <c r="G159" s="588"/>
      <c r="H159" s="615"/>
      <c r="I159" s="588"/>
      <c r="J159" s="612"/>
    </row>
    <row r="160" spans="1:10" x14ac:dyDescent="0.3">
      <c r="A160" s="586">
        <f>S53</f>
        <v>5</v>
      </c>
      <c r="B160" s="587"/>
      <c r="C160" s="609">
        <v>1</v>
      </c>
      <c r="D160" s="609">
        <f>B160*S53</f>
        <v>0</v>
      </c>
      <c r="E160" s="588"/>
      <c r="F160" s="579"/>
      <c r="G160" s="588"/>
      <c r="H160" s="615"/>
      <c r="I160" s="588"/>
      <c r="J160" s="612"/>
    </row>
    <row r="161" spans="1:10" x14ac:dyDescent="0.3">
      <c r="A161" s="586">
        <f>S54</f>
        <v>5</v>
      </c>
      <c r="B161" s="587"/>
      <c r="C161" s="609">
        <v>1</v>
      </c>
      <c r="D161" s="609">
        <f>B161*S54</f>
        <v>0</v>
      </c>
      <c r="E161" s="588"/>
      <c r="F161" s="579"/>
      <c r="G161" s="588"/>
      <c r="H161" s="615"/>
      <c r="I161" s="588"/>
      <c r="J161" s="612"/>
    </row>
    <row r="162" spans="1:10" x14ac:dyDescent="0.3">
      <c r="A162" s="616"/>
      <c r="B162" s="617"/>
      <c r="C162" s="618"/>
      <c r="D162" s="618"/>
      <c r="E162" s="588"/>
      <c r="F162" s="579"/>
      <c r="G162" s="588"/>
      <c r="H162" s="615"/>
      <c r="I162" s="588"/>
      <c r="J162" s="612"/>
    </row>
    <row r="163" spans="1:10" x14ac:dyDescent="0.3">
      <c r="A163" s="586">
        <f>S56</f>
        <v>5</v>
      </c>
      <c r="B163" s="587"/>
      <c r="C163" s="609">
        <v>1</v>
      </c>
      <c r="D163" s="609">
        <f>B163*S56</f>
        <v>0</v>
      </c>
      <c r="E163" s="588"/>
      <c r="F163" s="579"/>
      <c r="G163" s="588"/>
      <c r="H163" s="615"/>
      <c r="I163" s="588"/>
      <c r="J163" s="612"/>
    </row>
    <row r="164" spans="1:10" x14ac:dyDescent="0.3">
      <c r="A164" s="592">
        <f>S57</f>
        <v>5</v>
      </c>
      <c r="B164" s="593">
        <v>3</v>
      </c>
      <c r="C164" s="619">
        <v>1</v>
      </c>
      <c r="D164" s="619">
        <f>B164*S57</f>
        <v>15</v>
      </c>
      <c r="E164" s="594"/>
      <c r="F164" s="595"/>
      <c r="G164" s="594"/>
      <c r="H164" s="620"/>
      <c r="I164" s="594"/>
      <c r="J164" s="621"/>
    </row>
    <row r="165" spans="1:10" x14ac:dyDescent="0.3">
      <c r="A165" s="174"/>
      <c r="B165" s="174"/>
      <c r="C165" s="170"/>
      <c r="D165" s="174"/>
    </row>
  </sheetData>
  <sheetProtection sheet="1" objects="1" scenarios="1" formatCells="0" formatColumns="0" formatRows="0" insertHyperlinks="0" selectLockedCells="1" sort="0" autoFilter="0"/>
  <mergeCells count="72">
    <mergeCell ref="D74:U74"/>
    <mergeCell ref="D63:U63"/>
    <mergeCell ref="D64:U64"/>
    <mergeCell ref="D65:U65"/>
    <mergeCell ref="D66:U66"/>
    <mergeCell ref="D67:U67"/>
    <mergeCell ref="D68:U68"/>
    <mergeCell ref="D69:U69"/>
    <mergeCell ref="D70:U70"/>
    <mergeCell ref="D71:U71"/>
    <mergeCell ref="D72:U72"/>
    <mergeCell ref="D73:U73"/>
    <mergeCell ref="D62:U62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U58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S3:S6"/>
    <mergeCell ref="Y3:Y5"/>
    <mergeCell ref="D10:E10"/>
    <mergeCell ref="H10:I10"/>
    <mergeCell ref="L10:M10"/>
    <mergeCell ref="N3:N6"/>
    <mergeCell ref="P3:P6"/>
    <mergeCell ref="D11:E11"/>
    <mergeCell ref="G3:G6"/>
    <mergeCell ref="H3:H6"/>
    <mergeCell ref="J3:J6"/>
    <mergeCell ref="L3:L6"/>
  </mergeCells>
  <conditionalFormatting sqref="G59:G61">
    <cfRule type="iconSet" priority="13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H59:N61">
    <cfRule type="iconSet" priority="1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O59:R61 V59:V61">
    <cfRule type="iconSet" priority="15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S11:S14">
    <cfRule type="iconSet" priority="9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16:S23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25:S28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30:S32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34:S40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2:S45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7:S49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51:S5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56:S57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5">
    <dataValidation type="list" allowBlank="1" showInputMessage="1" showErrorMessage="1" sqref="I59:I61 L59:L61" xr:uid="{00000000-0002-0000-1000-000000000000}">
      <formula1>"1,2,3"</formula1>
    </dataValidation>
    <dataValidation type="list" allowBlank="1" showInputMessage="1" showErrorMessage="1" sqref="S30:S32 S16:S23 S34:S40 S47:S49 S51:S54 S11:S14 S25:S28 S42:S45 S56:S57" xr:uid="{00000000-0002-0000-1000-000001000000}">
      <formula1>"1,2,3,4,5,6,7,8,9,10"</formula1>
    </dataValidation>
    <dataValidation type="list" allowBlank="1" showInputMessage="1" showErrorMessage="1" sqref="W59:X61" xr:uid="{00000000-0002-0000-1000-000002000000}">
      <formula1>"1,2,3,4,5,6,7,8,9,10,11"</formula1>
    </dataValidation>
    <dataValidation type="custom" allowBlank="1" showInputMessage="1" showErrorMessage="1" errorTitle="Erreur  -  Fehler" error="Tous  les champs doivent être remplis et la note doit être entre 1.0 et 6.0!_x000a__x000a_Alle Felder müssen ausgefüllt und die  Note zwischen 1.0  un 6.0 sein!" sqref="V5" xr:uid="{00000000-0002-0000-1000-000003000000}">
      <formula1>AND(AND(V5&gt;=1,(V5&lt;=6)),(#REF!=14))</formula1>
    </dataValidation>
    <dataValidation type="custom" allowBlank="1" showInputMessage="1" showErrorMessage="1" sqref="R58" xr:uid="{00000000-0002-0000-1000-000004000000}">
      <formula1>AND(R58&gt;=1,(R58&lt;=6))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orientation="portrait" r:id="rId1"/>
  <headerFooter>
    <oddFooter>&amp;R&amp;9&amp;K01+049&amp;P/&amp;N</oddFooter>
  </headerFooter>
  <rowBreaks count="1" manualBreakCount="1">
    <brk id="5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Group Box 1">
              <controlPr defaultSize="0" print="0" autoFill="0" autoPict="0">
                <anchor moveWithCells="1">
                  <from>
                    <xdr:col>6</xdr:col>
                    <xdr:colOff>76200</xdr:colOff>
                    <xdr:row>11</xdr:row>
                    <xdr:rowOff>22860</xdr:rowOff>
                  </from>
                  <to>
                    <xdr:col>16</xdr:col>
                    <xdr:colOff>129540</xdr:colOff>
                    <xdr:row>11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Option Button 2">
              <controlPr defaultSize="0" autoFill="0" autoLine="0" autoPict="0">
                <anchor moveWithCells="1">
                  <from>
                    <xdr:col>7</xdr:col>
                    <xdr:colOff>91440</xdr:colOff>
                    <xdr:row>11</xdr:row>
                    <xdr:rowOff>53340</xdr:rowOff>
                  </from>
                  <to>
                    <xdr:col>7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6" name="Option Button 3">
              <controlPr defaultSize="0" autoFill="0" autoLine="0" autoPict="0">
                <anchor moveWithCells="1">
                  <from>
                    <xdr:col>9</xdr:col>
                    <xdr:colOff>91440</xdr:colOff>
                    <xdr:row>11</xdr:row>
                    <xdr:rowOff>53340</xdr:rowOff>
                  </from>
                  <to>
                    <xdr:col>9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7" name="Option Button 4">
              <controlPr defaultSize="0" autoFill="0" autoLine="0" autoPict="0">
                <anchor moveWithCells="1">
                  <from>
                    <xdr:col>11</xdr:col>
                    <xdr:colOff>91440</xdr:colOff>
                    <xdr:row>11</xdr:row>
                    <xdr:rowOff>53340</xdr:rowOff>
                  </from>
                  <to>
                    <xdr:col>11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8" name="Option Button 5">
              <controlPr defaultSize="0" autoFill="0" autoLine="0" autoPict="0">
                <anchor moveWithCells="1">
                  <from>
                    <xdr:col>13</xdr:col>
                    <xdr:colOff>91440</xdr:colOff>
                    <xdr:row>11</xdr:row>
                    <xdr:rowOff>53340</xdr:rowOff>
                  </from>
                  <to>
                    <xdr:col>13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8" r:id="rId9" name="Option Button 6">
              <controlPr defaultSize="0" autoFill="0" autoLine="0" autoPict="0">
                <anchor moveWithCells="1">
                  <from>
                    <xdr:col>15</xdr:col>
                    <xdr:colOff>91440</xdr:colOff>
                    <xdr:row>11</xdr:row>
                    <xdr:rowOff>53340</xdr:rowOff>
                  </from>
                  <to>
                    <xdr:col>15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9" r:id="rId10" name="Group Box 7">
              <controlPr defaultSize="0" print="0" autoFill="0" autoPict="0">
                <anchor moveWithCells="1">
                  <from>
                    <xdr:col>6</xdr:col>
                    <xdr:colOff>76200</xdr:colOff>
                    <xdr:row>12</xdr:row>
                    <xdr:rowOff>30480</xdr:rowOff>
                  </from>
                  <to>
                    <xdr:col>16</xdr:col>
                    <xdr:colOff>129540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0" r:id="rId11" name="Option Button 8">
              <controlPr defaultSize="0" autoFill="0" autoLine="0" autoPict="0">
                <anchor moveWithCells="1">
                  <from>
                    <xdr:col>7</xdr:col>
                    <xdr:colOff>91440</xdr:colOff>
                    <xdr:row>12</xdr:row>
                    <xdr:rowOff>60960</xdr:rowOff>
                  </from>
                  <to>
                    <xdr:col>7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1" r:id="rId12" name="Option Button 9">
              <controlPr defaultSize="0" autoFill="0" autoLine="0" autoPict="0">
                <anchor moveWithCells="1">
                  <from>
                    <xdr:col>9</xdr:col>
                    <xdr:colOff>91440</xdr:colOff>
                    <xdr:row>12</xdr:row>
                    <xdr:rowOff>60960</xdr:rowOff>
                  </from>
                  <to>
                    <xdr:col>9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2" r:id="rId13" name="Option Button 10">
              <controlPr defaultSize="0" autoFill="0" autoLine="0" autoPict="0">
                <anchor moveWithCells="1">
                  <from>
                    <xdr:col>11</xdr:col>
                    <xdr:colOff>91440</xdr:colOff>
                    <xdr:row>12</xdr:row>
                    <xdr:rowOff>60960</xdr:rowOff>
                  </from>
                  <to>
                    <xdr:col>11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3" r:id="rId14" name="Option Button 11">
              <controlPr defaultSize="0" autoFill="0" autoLine="0" autoPict="0">
                <anchor moveWithCells="1">
                  <from>
                    <xdr:col>13</xdr:col>
                    <xdr:colOff>91440</xdr:colOff>
                    <xdr:row>12</xdr:row>
                    <xdr:rowOff>60960</xdr:rowOff>
                  </from>
                  <to>
                    <xdr:col>13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4" r:id="rId15" name="Option Button 12">
              <controlPr defaultSize="0" autoFill="0" autoLine="0" autoPict="0">
                <anchor moveWithCells="1">
                  <from>
                    <xdr:col>15</xdr:col>
                    <xdr:colOff>91440</xdr:colOff>
                    <xdr:row>12</xdr:row>
                    <xdr:rowOff>60960</xdr:rowOff>
                  </from>
                  <to>
                    <xdr:col>15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5" r:id="rId16" name="Group Box 13">
              <controlPr defaultSize="0" print="0" autoFill="0" autoPict="0">
                <anchor moveWithCells="1">
                  <from>
                    <xdr:col>6</xdr:col>
                    <xdr:colOff>76200</xdr:colOff>
                    <xdr:row>12</xdr:row>
                    <xdr:rowOff>388620</xdr:rowOff>
                  </from>
                  <to>
                    <xdr:col>16</xdr:col>
                    <xdr:colOff>129540</xdr:colOff>
                    <xdr:row>13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6" r:id="rId17" name="Option Button 14">
              <controlPr defaultSize="0" autoFill="0" autoLine="0" autoPict="0">
                <anchor moveWithCells="1">
                  <from>
                    <xdr:col>7</xdr:col>
                    <xdr:colOff>91440</xdr:colOff>
                    <xdr:row>13</xdr:row>
                    <xdr:rowOff>30480</xdr:rowOff>
                  </from>
                  <to>
                    <xdr:col>7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7" r:id="rId18" name="Option Button 15">
              <controlPr defaultSize="0" autoFill="0" autoLine="0" autoPict="0">
                <anchor moveWithCells="1">
                  <from>
                    <xdr:col>9</xdr:col>
                    <xdr:colOff>91440</xdr:colOff>
                    <xdr:row>13</xdr:row>
                    <xdr:rowOff>30480</xdr:rowOff>
                  </from>
                  <to>
                    <xdr:col>9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8" r:id="rId19" name="Option Button 16">
              <controlPr defaultSize="0" autoFill="0" autoLine="0" autoPict="0">
                <anchor moveWithCells="1">
                  <from>
                    <xdr:col>11</xdr:col>
                    <xdr:colOff>91440</xdr:colOff>
                    <xdr:row>13</xdr:row>
                    <xdr:rowOff>30480</xdr:rowOff>
                  </from>
                  <to>
                    <xdr:col>11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9" r:id="rId20" name="Option Button 17">
              <controlPr defaultSize="0" autoFill="0" autoLine="0" autoPict="0">
                <anchor moveWithCells="1">
                  <from>
                    <xdr:col>13</xdr:col>
                    <xdr:colOff>91440</xdr:colOff>
                    <xdr:row>13</xdr:row>
                    <xdr:rowOff>30480</xdr:rowOff>
                  </from>
                  <to>
                    <xdr:col>13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0" r:id="rId21" name="Option Button 18">
              <controlPr defaultSize="0" autoFill="0" autoLine="0" autoPict="0">
                <anchor moveWithCells="1">
                  <from>
                    <xdr:col>15</xdr:col>
                    <xdr:colOff>91440</xdr:colOff>
                    <xdr:row>13</xdr:row>
                    <xdr:rowOff>30480</xdr:rowOff>
                  </from>
                  <to>
                    <xdr:col>15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1" r:id="rId22" name="Group Box 19">
              <controlPr defaultSize="0" print="0" autoFill="0" autoPict="0">
                <anchor moveWithCells="1">
                  <from>
                    <xdr:col>6</xdr:col>
                    <xdr:colOff>76200</xdr:colOff>
                    <xdr:row>15</xdr:row>
                    <xdr:rowOff>22860</xdr:rowOff>
                  </from>
                  <to>
                    <xdr:col>16</xdr:col>
                    <xdr:colOff>129540</xdr:colOff>
                    <xdr:row>15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2" r:id="rId23" name="Option Button 20">
              <controlPr defaultSize="0" autoFill="0" autoLine="0" autoPict="0">
                <anchor moveWithCells="1">
                  <from>
                    <xdr:col>7</xdr:col>
                    <xdr:colOff>91440</xdr:colOff>
                    <xdr:row>15</xdr:row>
                    <xdr:rowOff>53340</xdr:rowOff>
                  </from>
                  <to>
                    <xdr:col>7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3" r:id="rId24" name="Option Button 21">
              <controlPr defaultSize="0" autoFill="0" autoLine="0" autoPict="0">
                <anchor moveWithCells="1">
                  <from>
                    <xdr:col>9</xdr:col>
                    <xdr:colOff>91440</xdr:colOff>
                    <xdr:row>15</xdr:row>
                    <xdr:rowOff>53340</xdr:rowOff>
                  </from>
                  <to>
                    <xdr:col>9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4" r:id="rId25" name="Option Button 22">
              <controlPr defaultSize="0" autoFill="0" autoLine="0" autoPict="0">
                <anchor moveWithCells="1">
                  <from>
                    <xdr:col>11</xdr:col>
                    <xdr:colOff>91440</xdr:colOff>
                    <xdr:row>15</xdr:row>
                    <xdr:rowOff>53340</xdr:rowOff>
                  </from>
                  <to>
                    <xdr:col>11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5" r:id="rId26" name="Option Button 23">
              <controlPr defaultSize="0" autoFill="0" autoLine="0" autoPict="0">
                <anchor moveWithCells="1">
                  <from>
                    <xdr:col>13</xdr:col>
                    <xdr:colOff>91440</xdr:colOff>
                    <xdr:row>15</xdr:row>
                    <xdr:rowOff>53340</xdr:rowOff>
                  </from>
                  <to>
                    <xdr:col>13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6" r:id="rId27" name="Option Button 24">
              <controlPr defaultSize="0" autoFill="0" autoLine="0" autoPict="0">
                <anchor moveWithCells="1">
                  <from>
                    <xdr:col>15</xdr:col>
                    <xdr:colOff>91440</xdr:colOff>
                    <xdr:row>15</xdr:row>
                    <xdr:rowOff>53340</xdr:rowOff>
                  </from>
                  <to>
                    <xdr:col>15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7" r:id="rId28" name="Group Box 25">
              <controlPr defaultSize="0" print="0" autoFill="0" autoPict="0">
                <anchor moveWithCells="1">
                  <from>
                    <xdr:col>6</xdr:col>
                    <xdr:colOff>76200</xdr:colOff>
                    <xdr:row>16</xdr:row>
                    <xdr:rowOff>30480</xdr:rowOff>
                  </from>
                  <to>
                    <xdr:col>16</xdr:col>
                    <xdr:colOff>129540</xdr:colOff>
                    <xdr:row>16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8" r:id="rId29" name="Option Button 26">
              <controlPr defaultSize="0" autoFill="0" autoLine="0" autoPict="0">
                <anchor moveWithCells="1">
                  <from>
                    <xdr:col>7</xdr:col>
                    <xdr:colOff>91440</xdr:colOff>
                    <xdr:row>16</xdr:row>
                    <xdr:rowOff>60960</xdr:rowOff>
                  </from>
                  <to>
                    <xdr:col>7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9" r:id="rId30" name="Option Button 27">
              <controlPr defaultSize="0" autoFill="0" autoLine="0" autoPict="0">
                <anchor moveWithCells="1">
                  <from>
                    <xdr:col>9</xdr:col>
                    <xdr:colOff>91440</xdr:colOff>
                    <xdr:row>16</xdr:row>
                    <xdr:rowOff>60960</xdr:rowOff>
                  </from>
                  <to>
                    <xdr:col>9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0" r:id="rId31" name="Option Button 28">
              <controlPr defaultSize="0" autoFill="0" autoLine="0" autoPict="0">
                <anchor moveWithCells="1">
                  <from>
                    <xdr:col>11</xdr:col>
                    <xdr:colOff>91440</xdr:colOff>
                    <xdr:row>16</xdr:row>
                    <xdr:rowOff>60960</xdr:rowOff>
                  </from>
                  <to>
                    <xdr:col>11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1" r:id="rId32" name="Option Button 29">
              <controlPr defaultSize="0" autoFill="0" autoLine="0" autoPict="0">
                <anchor moveWithCells="1">
                  <from>
                    <xdr:col>13</xdr:col>
                    <xdr:colOff>91440</xdr:colOff>
                    <xdr:row>16</xdr:row>
                    <xdr:rowOff>60960</xdr:rowOff>
                  </from>
                  <to>
                    <xdr:col>13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2" r:id="rId33" name="Option Button 30">
              <controlPr defaultSize="0" autoFill="0" autoLine="0" autoPict="0">
                <anchor moveWithCells="1">
                  <from>
                    <xdr:col>15</xdr:col>
                    <xdr:colOff>91440</xdr:colOff>
                    <xdr:row>16</xdr:row>
                    <xdr:rowOff>60960</xdr:rowOff>
                  </from>
                  <to>
                    <xdr:col>15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3" r:id="rId34" name="Group Box 31">
              <controlPr defaultSize="0" print="0" autoFill="0" autoPict="0">
                <anchor moveWithCells="1">
                  <from>
                    <xdr:col>6</xdr:col>
                    <xdr:colOff>76200</xdr:colOff>
                    <xdr:row>17</xdr:row>
                    <xdr:rowOff>7620</xdr:rowOff>
                  </from>
                  <to>
                    <xdr:col>16</xdr:col>
                    <xdr:colOff>129540</xdr:colOff>
                    <xdr:row>17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4" r:id="rId35" name="Option Button 32">
              <controlPr defaultSize="0" autoFill="0" autoLine="0" autoPict="0">
                <anchor moveWithCells="1">
                  <from>
                    <xdr:col>7</xdr:col>
                    <xdr:colOff>91440</xdr:colOff>
                    <xdr:row>17</xdr:row>
                    <xdr:rowOff>45720</xdr:rowOff>
                  </from>
                  <to>
                    <xdr:col>7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5" r:id="rId36" name="Option Button 33">
              <controlPr defaultSize="0" autoFill="0" autoLine="0" autoPict="0">
                <anchor moveWithCells="1">
                  <from>
                    <xdr:col>9</xdr:col>
                    <xdr:colOff>91440</xdr:colOff>
                    <xdr:row>17</xdr:row>
                    <xdr:rowOff>45720</xdr:rowOff>
                  </from>
                  <to>
                    <xdr:col>9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6" r:id="rId37" name="Option Button 34">
              <controlPr defaultSize="0" autoFill="0" autoLine="0" autoPict="0">
                <anchor moveWithCells="1">
                  <from>
                    <xdr:col>11</xdr:col>
                    <xdr:colOff>91440</xdr:colOff>
                    <xdr:row>17</xdr:row>
                    <xdr:rowOff>45720</xdr:rowOff>
                  </from>
                  <to>
                    <xdr:col>11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7" r:id="rId38" name="Option Button 35">
              <controlPr defaultSize="0" autoFill="0" autoLine="0" autoPict="0">
                <anchor moveWithCells="1">
                  <from>
                    <xdr:col>13</xdr:col>
                    <xdr:colOff>91440</xdr:colOff>
                    <xdr:row>17</xdr:row>
                    <xdr:rowOff>45720</xdr:rowOff>
                  </from>
                  <to>
                    <xdr:col>13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8" r:id="rId39" name="Option Button 36">
              <controlPr defaultSize="0" autoFill="0" autoLine="0" autoPict="0">
                <anchor moveWithCells="1">
                  <from>
                    <xdr:col>15</xdr:col>
                    <xdr:colOff>91440</xdr:colOff>
                    <xdr:row>17</xdr:row>
                    <xdr:rowOff>45720</xdr:rowOff>
                  </from>
                  <to>
                    <xdr:col>15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9" r:id="rId40" name="Group Box 37">
              <controlPr defaultSize="0" print="0" autoFill="0" autoPict="0">
                <anchor moveWithCells="1">
                  <from>
                    <xdr:col>6</xdr:col>
                    <xdr:colOff>76200</xdr:colOff>
                    <xdr:row>24</xdr:row>
                    <xdr:rowOff>15240</xdr:rowOff>
                  </from>
                  <to>
                    <xdr:col>16</xdr:col>
                    <xdr:colOff>129540</xdr:colOff>
                    <xdr:row>24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0" r:id="rId41" name="Option Button 38">
              <controlPr defaultSize="0" autoFill="0" autoLine="0" autoPict="0">
                <anchor moveWithCells="1">
                  <from>
                    <xdr:col>7</xdr:col>
                    <xdr:colOff>91440</xdr:colOff>
                    <xdr:row>24</xdr:row>
                    <xdr:rowOff>45720</xdr:rowOff>
                  </from>
                  <to>
                    <xdr:col>7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1" r:id="rId42" name="Option Button 39">
              <controlPr defaultSize="0" autoFill="0" autoLine="0" autoPict="0">
                <anchor moveWithCells="1">
                  <from>
                    <xdr:col>9</xdr:col>
                    <xdr:colOff>91440</xdr:colOff>
                    <xdr:row>24</xdr:row>
                    <xdr:rowOff>45720</xdr:rowOff>
                  </from>
                  <to>
                    <xdr:col>9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2" r:id="rId43" name="Option Button 40">
              <controlPr defaultSize="0" autoFill="0" autoLine="0" autoPict="0">
                <anchor moveWithCells="1">
                  <from>
                    <xdr:col>11</xdr:col>
                    <xdr:colOff>91440</xdr:colOff>
                    <xdr:row>24</xdr:row>
                    <xdr:rowOff>45720</xdr:rowOff>
                  </from>
                  <to>
                    <xdr:col>11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3" r:id="rId44" name="Option Button 41">
              <controlPr defaultSize="0" autoFill="0" autoLine="0" autoPict="0">
                <anchor moveWithCells="1">
                  <from>
                    <xdr:col>13</xdr:col>
                    <xdr:colOff>91440</xdr:colOff>
                    <xdr:row>24</xdr:row>
                    <xdr:rowOff>45720</xdr:rowOff>
                  </from>
                  <to>
                    <xdr:col>13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4" r:id="rId45" name="Option Button 42">
              <controlPr defaultSize="0" autoFill="0" autoLine="0" autoPict="0">
                <anchor moveWithCells="1">
                  <from>
                    <xdr:col>15</xdr:col>
                    <xdr:colOff>91440</xdr:colOff>
                    <xdr:row>24</xdr:row>
                    <xdr:rowOff>45720</xdr:rowOff>
                  </from>
                  <to>
                    <xdr:col>15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5" r:id="rId46" name="Group Box 43">
              <controlPr defaultSize="0" print="0" autoFill="0" autoPict="0">
                <anchor moveWithCells="1">
                  <from>
                    <xdr:col>6</xdr:col>
                    <xdr:colOff>76200</xdr:colOff>
                    <xdr:row>25</xdr:row>
                    <xdr:rowOff>7620</xdr:rowOff>
                  </from>
                  <to>
                    <xdr:col>16</xdr:col>
                    <xdr:colOff>129540</xdr:colOff>
                    <xdr:row>25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6" r:id="rId47" name="Option Button 44">
              <controlPr defaultSize="0" autoFill="0" autoLine="0" autoPict="0">
                <anchor moveWithCells="1">
                  <from>
                    <xdr:col>7</xdr:col>
                    <xdr:colOff>91440</xdr:colOff>
                    <xdr:row>25</xdr:row>
                    <xdr:rowOff>45720</xdr:rowOff>
                  </from>
                  <to>
                    <xdr:col>7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7" r:id="rId48" name="Option Button 45">
              <controlPr defaultSize="0" autoFill="0" autoLine="0" autoPict="0">
                <anchor moveWithCells="1">
                  <from>
                    <xdr:col>9</xdr:col>
                    <xdr:colOff>91440</xdr:colOff>
                    <xdr:row>25</xdr:row>
                    <xdr:rowOff>45720</xdr:rowOff>
                  </from>
                  <to>
                    <xdr:col>9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8" r:id="rId49" name="Option Button 46">
              <controlPr defaultSize="0" autoFill="0" autoLine="0" autoPict="0">
                <anchor moveWithCells="1">
                  <from>
                    <xdr:col>11</xdr:col>
                    <xdr:colOff>91440</xdr:colOff>
                    <xdr:row>25</xdr:row>
                    <xdr:rowOff>45720</xdr:rowOff>
                  </from>
                  <to>
                    <xdr:col>11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9" r:id="rId50" name="Option Button 47">
              <controlPr defaultSize="0" autoFill="0" autoLine="0" autoPict="0">
                <anchor moveWithCells="1">
                  <from>
                    <xdr:col>13</xdr:col>
                    <xdr:colOff>91440</xdr:colOff>
                    <xdr:row>25</xdr:row>
                    <xdr:rowOff>45720</xdr:rowOff>
                  </from>
                  <to>
                    <xdr:col>13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0" r:id="rId51" name="Option Button 48">
              <controlPr defaultSize="0" autoFill="0" autoLine="0" autoPict="0">
                <anchor moveWithCells="1">
                  <from>
                    <xdr:col>15</xdr:col>
                    <xdr:colOff>91440</xdr:colOff>
                    <xdr:row>25</xdr:row>
                    <xdr:rowOff>45720</xdr:rowOff>
                  </from>
                  <to>
                    <xdr:col>15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1" r:id="rId52" name="Group Box 49">
              <controlPr defaultSize="0" print="0" autoFill="0" autoPict="0">
                <anchor moveWithCells="1">
                  <from>
                    <xdr:col>6</xdr:col>
                    <xdr:colOff>76200</xdr:colOff>
                    <xdr:row>26</xdr:row>
                    <xdr:rowOff>15240</xdr:rowOff>
                  </from>
                  <to>
                    <xdr:col>16</xdr:col>
                    <xdr:colOff>129540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2" r:id="rId53" name="Option Button 50">
              <controlPr defaultSize="0" autoFill="0" autoLine="0" autoPict="0">
                <anchor moveWithCells="1">
                  <from>
                    <xdr:col>7</xdr:col>
                    <xdr:colOff>91440</xdr:colOff>
                    <xdr:row>26</xdr:row>
                    <xdr:rowOff>45720</xdr:rowOff>
                  </from>
                  <to>
                    <xdr:col>7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3" r:id="rId54" name="Option Button 51">
              <controlPr defaultSize="0" autoFill="0" autoLine="0" autoPict="0">
                <anchor moveWithCells="1">
                  <from>
                    <xdr:col>9</xdr:col>
                    <xdr:colOff>91440</xdr:colOff>
                    <xdr:row>26</xdr:row>
                    <xdr:rowOff>45720</xdr:rowOff>
                  </from>
                  <to>
                    <xdr:col>9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4" r:id="rId55" name="Option Button 52">
              <controlPr defaultSize="0" autoFill="0" autoLine="0" autoPict="0">
                <anchor moveWithCells="1">
                  <from>
                    <xdr:col>11</xdr:col>
                    <xdr:colOff>91440</xdr:colOff>
                    <xdr:row>26</xdr:row>
                    <xdr:rowOff>45720</xdr:rowOff>
                  </from>
                  <to>
                    <xdr:col>11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5" r:id="rId56" name="Option Button 53">
              <controlPr defaultSize="0" autoFill="0" autoLine="0" autoPict="0">
                <anchor moveWithCells="1">
                  <from>
                    <xdr:col>13</xdr:col>
                    <xdr:colOff>91440</xdr:colOff>
                    <xdr:row>26</xdr:row>
                    <xdr:rowOff>45720</xdr:rowOff>
                  </from>
                  <to>
                    <xdr:col>13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6" r:id="rId57" name="Option Button 54">
              <controlPr defaultSize="0" autoFill="0" autoLine="0" autoPict="0">
                <anchor moveWithCells="1">
                  <from>
                    <xdr:col>15</xdr:col>
                    <xdr:colOff>91440</xdr:colOff>
                    <xdr:row>26</xdr:row>
                    <xdr:rowOff>45720</xdr:rowOff>
                  </from>
                  <to>
                    <xdr:col>15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7" r:id="rId58" name="Group Box 55">
              <controlPr defaultSize="0" print="0" autoFill="0" autoPict="0">
                <anchor moveWithCells="1">
                  <from>
                    <xdr:col>6</xdr:col>
                    <xdr:colOff>76200</xdr:colOff>
                    <xdr:row>27</xdr:row>
                    <xdr:rowOff>30480</xdr:rowOff>
                  </from>
                  <to>
                    <xdr:col>16</xdr:col>
                    <xdr:colOff>129540</xdr:colOff>
                    <xdr:row>27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8" r:id="rId59" name="Option Button 56">
              <controlPr defaultSize="0" autoFill="0" autoLine="0" autoPict="0">
                <anchor moveWithCells="1">
                  <from>
                    <xdr:col>7</xdr:col>
                    <xdr:colOff>91440</xdr:colOff>
                    <xdr:row>27</xdr:row>
                    <xdr:rowOff>60960</xdr:rowOff>
                  </from>
                  <to>
                    <xdr:col>7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9" r:id="rId60" name="Option Button 57">
              <controlPr defaultSize="0" autoFill="0" autoLine="0" autoPict="0">
                <anchor moveWithCells="1">
                  <from>
                    <xdr:col>9</xdr:col>
                    <xdr:colOff>91440</xdr:colOff>
                    <xdr:row>27</xdr:row>
                    <xdr:rowOff>60960</xdr:rowOff>
                  </from>
                  <to>
                    <xdr:col>9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0" r:id="rId61" name="Option Button 58">
              <controlPr defaultSize="0" autoFill="0" autoLine="0" autoPict="0">
                <anchor moveWithCells="1">
                  <from>
                    <xdr:col>11</xdr:col>
                    <xdr:colOff>91440</xdr:colOff>
                    <xdr:row>27</xdr:row>
                    <xdr:rowOff>60960</xdr:rowOff>
                  </from>
                  <to>
                    <xdr:col>11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1" r:id="rId62" name="Option Button 59">
              <controlPr defaultSize="0" autoFill="0" autoLine="0" autoPict="0">
                <anchor moveWithCells="1">
                  <from>
                    <xdr:col>13</xdr:col>
                    <xdr:colOff>91440</xdr:colOff>
                    <xdr:row>27</xdr:row>
                    <xdr:rowOff>60960</xdr:rowOff>
                  </from>
                  <to>
                    <xdr:col>13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2" r:id="rId63" name="Option Button 60">
              <controlPr defaultSize="0" autoFill="0" autoLine="0" autoPict="0">
                <anchor moveWithCells="1">
                  <from>
                    <xdr:col>15</xdr:col>
                    <xdr:colOff>91440</xdr:colOff>
                    <xdr:row>27</xdr:row>
                    <xdr:rowOff>60960</xdr:rowOff>
                  </from>
                  <to>
                    <xdr:col>15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3" r:id="rId64" name="Group Box 61">
              <controlPr defaultSize="0" print="0" autoFill="0" autoPict="0">
                <anchor moveWithCells="1">
                  <from>
                    <xdr:col>6</xdr:col>
                    <xdr:colOff>68580</xdr:colOff>
                    <xdr:row>10</xdr:row>
                    <xdr:rowOff>15240</xdr:rowOff>
                  </from>
                  <to>
                    <xdr:col>16</xdr:col>
                    <xdr:colOff>129540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4" r:id="rId65" name="Option Button 62">
              <controlPr defaultSize="0" autoFill="0" autoLine="0" autoPict="0">
                <anchor moveWithCells="1">
                  <from>
                    <xdr:col>7</xdr:col>
                    <xdr:colOff>83820</xdr:colOff>
                    <xdr:row>10</xdr:row>
                    <xdr:rowOff>53340</xdr:rowOff>
                  </from>
                  <to>
                    <xdr:col>7</xdr:col>
                    <xdr:colOff>304800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5" r:id="rId66" name="Option Button 63">
              <controlPr defaultSize="0" autoFill="0" autoLine="0" autoPict="0">
                <anchor moveWithCells="1">
                  <from>
                    <xdr:col>9</xdr:col>
                    <xdr:colOff>83820</xdr:colOff>
                    <xdr:row>10</xdr:row>
                    <xdr:rowOff>53340</xdr:rowOff>
                  </from>
                  <to>
                    <xdr:col>9</xdr:col>
                    <xdr:colOff>312420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6" r:id="rId67" name="Option Button 64">
              <controlPr defaultSize="0" autoFill="0" autoLine="0" autoPict="0">
                <anchor moveWithCells="1">
                  <from>
                    <xdr:col>11</xdr:col>
                    <xdr:colOff>83820</xdr:colOff>
                    <xdr:row>10</xdr:row>
                    <xdr:rowOff>53340</xdr:rowOff>
                  </from>
                  <to>
                    <xdr:col>11</xdr:col>
                    <xdr:colOff>312420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7" r:id="rId68" name="Option Button 65">
              <controlPr defaultSize="0" autoFill="0" autoLine="0" autoPict="0">
                <anchor moveWithCells="1">
                  <from>
                    <xdr:col>13</xdr:col>
                    <xdr:colOff>83820</xdr:colOff>
                    <xdr:row>10</xdr:row>
                    <xdr:rowOff>53340</xdr:rowOff>
                  </from>
                  <to>
                    <xdr:col>13</xdr:col>
                    <xdr:colOff>312420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8" r:id="rId69" name="Option Button 66">
              <controlPr defaultSize="0" autoFill="0" autoLine="0" autoPict="0">
                <anchor moveWithCells="1">
                  <from>
                    <xdr:col>15</xdr:col>
                    <xdr:colOff>83820</xdr:colOff>
                    <xdr:row>10</xdr:row>
                    <xdr:rowOff>53340</xdr:rowOff>
                  </from>
                  <to>
                    <xdr:col>15</xdr:col>
                    <xdr:colOff>312420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9" r:id="rId70" name="Group Box 67">
              <controlPr defaultSize="0" print="0" autoFill="0" autoPict="0">
                <anchor moveWithCells="1">
                  <from>
                    <xdr:col>6</xdr:col>
                    <xdr:colOff>76200</xdr:colOff>
                    <xdr:row>18</xdr:row>
                    <xdr:rowOff>7620</xdr:rowOff>
                  </from>
                  <to>
                    <xdr:col>16</xdr:col>
                    <xdr:colOff>129540</xdr:colOff>
                    <xdr:row>18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0" r:id="rId71" name="Option Button 68">
              <controlPr defaultSize="0" autoFill="0" autoLine="0" autoPict="0">
                <anchor moveWithCells="1">
                  <from>
                    <xdr:col>7</xdr:col>
                    <xdr:colOff>91440</xdr:colOff>
                    <xdr:row>18</xdr:row>
                    <xdr:rowOff>45720</xdr:rowOff>
                  </from>
                  <to>
                    <xdr:col>7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1" r:id="rId72" name="Option Button 69">
              <controlPr defaultSize="0" autoFill="0" autoLine="0" autoPict="0">
                <anchor moveWithCells="1">
                  <from>
                    <xdr:col>9</xdr:col>
                    <xdr:colOff>91440</xdr:colOff>
                    <xdr:row>18</xdr:row>
                    <xdr:rowOff>45720</xdr:rowOff>
                  </from>
                  <to>
                    <xdr:col>9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2" r:id="rId73" name="Option Button 70">
              <controlPr defaultSize="0" autoFill="0" autoLine="0" autoPict="0">
                <anchor moveWithCells="1">
                  <from>
                    <xdr:col>11</xdr:col>
                    <xdr:colOff>91440</xdr:colOff>
                    <xdr:row>18</xdr:row>
                    <xdr:rowOff>45720</xdr:rowOff>
                  </from>
                  <to>
                    <xdr:col>11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3" r:id="rId74" name="Option Button 71">
              <controlPr defaultSize="0" autoFill="0" autoLine="0" autoPict="0">
                <anchor moveWithCells="1">
                  <from>
                    <xdr:col>13</xdr:col>
                    <xdr:colOff>91440</xdr:colOff>
                    <xdr:row>18</xdr:row>
                    <xdr:rowOff>45720</xdr:rowOff>
                  </from>
                  <to>
                    <xdr:col>13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4" r:id="rId75" name="Option Button 72">
              <controlPr defaultSize="0" autoFill="0" autoLine="0" autoPict="0">
                <anchor moveWithCells="1">
                  <from>
                    <xdr:col>15</xdr:col>
                    <xdr:colOff>91440</xdr:colOff>
                    <xdr:row>18</xdr:row>
                    <xdr:rowOff>45720</xdr:rowOff>
                  </from>
                  <to>
                    <xdr:col>15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5" r:id="rId76" name="Group Box 73">
              <controlPr defaultSize="0" print="0" autoFill="0" autoPict="0">
                <anchor moveWithCells="1">
                  <from>
                    <xdr:col>6</xdr:col>
                    <xdr:colOff>76200</xdr:colOff>
                    <xdr:row>19</xdr:row>
                    <xdr:rowOff>7620</xdr:rowOff>
                  </from>
                  <to>
                    <xdr:col>16</xdr:col>
                    <xdr:colOff>129540</xdr:colOff>
                    <xdr:row>19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6" r:id="rId77" name="Option Button 74">
              <controlPr defaultSize="0" autoFill="0" autoLine="0" autoPict="0">
                <anchor moveWithCells="1">
                  <from>
                    <xdr:col>7</xdr:col>
                    <xdr:colOff>91440</xdr:colOff>
                    <xdr:row>19</xdr:row>
                    <xdr:rowOff>45720</xdr:rowOff>
                  </from>
                  <to>
                    <xdr:col>7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7" r:id="rId78" name="Option Button 75">
              <controlPr defaultSize="0" autoFill="0" autoLine="0" autoPict="0">
                <anchor moveWithCells="1">
                  <from>
                    <xdr:col>9</xdr:col>
                    <xdr:colOff>91440</xdr:colOff>
                    <xdr:row>19</xdr:row>
                    <xdr:rowOff>45720</xdr:rowOff>
                  </from>
                  <to>
                    <xdr:col>9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8" r:id="rId79" name="Option Button 76">
              <controlPr defaultSize="0" autoFill="0" autoLine="0" autoPict="0">
                <anchor moveWithCells="1">
                  <from>
                    <xdr:col>11</xdr:col>
                    <xdr:colOff>91440</xdr:colOff>
                    <xdr:row>19</xdr:row>
                    <xdr:rowOff>45720</xdr:rowOff>
                  </from>
                  <to>
                    <xdr:col>11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9" r:id="rId80" name="Option Button 77">
              <controlPr defaultSize="0" autoFill="0" autoLine="0" autoPict="0">
                <anchor moveWithCells="1">
                  <from>
                    <xdr:col>13</xdr:col>
                    <xdr:colOff>91440</xdr:colOff>
                    <xdr:row>19</xdr:row>
                    <xdr:rowOff>45720</xdr:rowOff>
                  </from>
                  <to>
                    <xdr:col>13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0" r:id="rId81" name="Option Button 78">
              <controlPr defaultSize="0" autoFill="0" autoLine="0" autoPict="0">
                <anchor moveWithCells="1">
                  <from>
                    <xdr:col>15</xdr:col>
                    <xdr:colOff>91440</xdr:colOff>
                    <xdr:row>19</xdr:row>
                    <xdr:rowOff>45720</xdr:rowOff>
                  </from>
                  <to>
                    <xdr:col>15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1" r:id="rId82" name="Group Box 79">
              <controlPr defaultSize="0" print="0" autoFill="0" autoPict="0">
                <anchor moveWithCells="1">
                  <from>
                    <xdr:col>6</xdr:col>
                    <xdr:colOff>76200</xdr:colOff>
                    <xdr:row>20</xdr:row>
                    <xdr:rowOff>22860</xdr:rowOff>
                  </from>
                  <to>
                    <xdr:col>16</xdr:col>
                    <xdr:colOff>129540</xdr:colOff>
                    <xdr:row>20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2" r:id="rId83" name="Option Button 80">
              <controlPr defaultSize="0" autoFill="0" autoLine="0" autoPict="0">
                <anchor moveWithCells="1">
                  <from>
                    <xdr:col>7</xdr:col>
                    <xdr:colOff>91440</xdr:colOff>
                    <xdr:row>20</xdr:row>
                    <xdr:rowOff>53340</xdr:rowOff>
                  </from>
                  <to>
                    <xdr:col>7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3" r:id="rId84" name="Option Button 81">
              <controlPr defaultSize="0" autoFill="0" autoLine="0" autoPict="0">
                <anchor moveWithCells="1">
                  <from>
                    <xdr:col>9</xdr:col>
                    <xdr:colOff>91440</xdr:colOff>
                    <xdr:row>20</xdr:row>
                    <xdr:rowOff>53340</xdr:rowOff>
                  </from>
                  <to>
                    <xdr:col>9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4" r:id="rId85" name="Option Button 82">
              <controlPr defaultSize="0" autoFill="0" autoLine="0" autoPict="0">
                <anchor moveWithCells="1">
                  <from>
                    <xdr:col>11</xdr:col>
                    <xdr:colOff>91440</xdr:colOff>
                    <xdr:row>20</xdr:row>
                    <xdr:rowOff>53340</xdr:rowOff>
                  </from>
                  <to>
                    <xdr:col>11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5" r:id="rId86" name="Option Button 83">
              <controlPr defaultSize="0" autoFill="0" autoLine="0" autoPict="0">
                <anchor moveWithCells="1">
                  <from>
                    <xdr:col>13</xdr:col>
                    <xdr:colOff>91440</xdr:colOff>
                    <xdr:row>20</xdr:row>
                    <xdr:rowOff>53340</xdr:rowOff>
                  </from>
                  <to>
                    <xdr:col>13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6" r:id="rId87" name="Option Button 84">
              <controlPr defaultSize="0" autoFill="0" autoLine="0" autoPict="0">
                <anchor moveWithCells="1">
                  <from>
                    <xdr:col>15</xdr:col>
                    <xdr:colOff>91440</xdr:colOff>
                    <xdr:row>20</xdr:row>
                    <xdr:rowOff>53340</xdr:rowOff>
                  </from>
                  <to>
                    <xdr:col>15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7" r:id="rId88" name="Group Box 85">
              <controlPr defaultSize="0" print="0" autoFill="0" autoPict="0">
                <anchor moveWithCells="1">
                  <from>
                    <xdr:col>6</xdr:col>
                    <xdr:colOff>76200</xdr:colOff>
                    <xdr:row>21</xdr:row>
                    <xdr:rowOff>7620</xdr:rowOff>
                  </from>
                  <to>
                    <xdr:col>16</xdr:col>
                    <xdr:colOff>129540</xdr:colOff>
                    <xdr:row>21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8" r:id="rId89" name="Option Button 86">
              <controlPr defaultSize="0" autoFill="0" autoLine="0" autoPict="0">
                <anchor moveWithCells="1">
                  <from>
                    <xdr:col>7</xdr:col>
                    <xdr:colOff>91440</xdr:colOff>
                    <xdr:row>21</xdr:row>
                    <xdr:rowOff>45720</xdr:rowOff>
                  </from>
                  <to>
                    <xdr:col>7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9" r:id="rId90" name="Option Button 87">
              <controlPr defaultSize="0" autoFill="0" autoLine="0" autoPict="0">
                <anchor moveWithCells="1">
                  <from>
                    <xdr:col>9</xdr:col>
                    <xdr:colOff>91440</xdr:colOff>
                    <xdr:row>21</xdr:row>
                    <xdr:rowOff>45720</xdr:rowOff>
                  </from>
                  <to>
                    <xdr:col>9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0" r:id="rId91" name="Option Button 88">
              <controlPr defaultSize="0" autoFill="0" autoLine="0" autoPict="0">
                <anchor moveWithCells="1">
                  <from>
                    <xdr:col>11</xdr:col>
                    <xdr:colOff>91440</xdr:colOff>
                    <xdr:row>21</xdr:row>
                    <xdr:rowOff>45720</xdr:rowOff>
                  </from>
                  <to>
                    <xdr:col>11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1" r:id="rId92" name="Option Button 89">
              <controlPr defaultSize="0" autoFill="0" autoLine="0" autoPict="0">
                <anchor moveWithCells="1">
                  <from>
                    <xdr:col>13</xdr:col>
                    <xdr:colOff>91440</xdr:colOff>
                    <xdr:row>21</xdr:row>
                    <xdr:rowOff>45720</xdr:rowOff>
                  </from>
                  <to>
                    <xdr:col>13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2" r:id="rId93" name="Option Button 90">
              <controlPr defaultSize="0" autoFill="0" autoLine="0" autoPict="0">
                <anchor moveWithCells="1">
                  <from>
                    <xdr:col>15</xdr:col>
                    <xdr:colOff>91440</xdr:colOff>
                    <xdr:row>21</xdr:row>
                    <xdr:rowOff>45720</xdr:rowOff>
                  </from>
                  <to>
                    <xdr:col>15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3" r:id="rId94" name="Group Box 91">
              <controlPr defaultSize="0" print="0" autoFill="0" autoPict="0">
                <anchor moveWithCells="1">
                  <from>
                    <xdr:col>6</xdr:col>
                    <xdr:colOff>76200</xdr:colOff>
                    <xdr:row>22</xdr:row>
                    <xdr:rowOff>7620</xdr:rowOff>
                  </from>
                  <to>
                    <xdr:col>16</xdr:col>
                    <xdr:colOff>129540</xdr:colOff>
                    <xdr:row>22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4" r:id="rId95" name="Option Button 92">
              <controlPr defaultSize="0" autoFill="0" autoLine="0" autoPict="0">
                <anchor moveWithCells="1">
                  <from>
                    <xdr:col>7</xdr:col>
                    <xdr:colOff>91440</xdr:colOff>
                    <xdr:row>22</xdr:row>
                    <xdr:rowOff>45720</xdr:rowOff>
                  </from>
                  <to>
                    <xdr:col>7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5" r:id="rId96" name="Option Button 93">
              <controlPr defaultSize="0" autoFill="0" autoLine="0" autoPict="0">
                <anchor moveWithCells="1">
                  <from>
                    <xdr:col>9</xdr:col>
                    <xdr:colOff>91440</xdr:colOff>
                    <xdr:row>22</xdr:row>
                    <xdr:rowOff>45720</xdr:rowOff>
                  </from>
                  <to>
                    <xdr:col>9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6" r:id="rId97" name="Option Button 94">
              <controlPr defaultSize="0" autoFill="0" autoLine="0" autoPict="0">
                <anchor moveWithCells="1">
                  <from>
                    <xdr:col>11</xdr:col>
                    <xdr:colOff>91440</xdr:colOff>
                    <xdr:row>22</xdr:row>
                    <xdr:rowOff>45720</xdr:rowOff>
                  </from>
                  <to>
                    <xdr:col>11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7" r:id="rId98" name="Option Button 95">
              <controlPr defaultSize="0" autoFill="0" autoLine="0" autoPict="0">
                <anchor moveWithCells="1">
                  <from>
                    <xdr:col>13</xdr:col>
                    <xdr:colOff>91440</xdr:colOff>
                    <xdr:row>22</xdr:row>
                    <xdr:rowOff>45720</xdr:rowOff>
                  </from>
                  <to>
                    <xdr:col>13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8" r:id="rId99" name="Option Button 96">
              <controlPr defaultSize="0" autoFill="0" autoLine="0" autoPict="0">
                <anchor moveWithCells="1">
                  <from>
                    <xdr:col>15</xdr:col>
                    <xdr:colOff>91440</xdr:colOff>
                    <xdr:row>22</xdr:row>
                    <xdr:rowOff>45720</xdr:rowOff>
                  </from>
                  <to>
                    <xdr:col>15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9" r:id="rId100" name="Group Box 97">
              <controlPr defaultSize="0" print="0" autoFill="0" autoPict="0">
                <anchor moveWithCells="1">
                  <from>
                    <xdr:col>6</xdr:col>
                    <xdr:colOff>76200</xdr:colOff>
                    <xdr:row>29</xdr:row>
                    <xdr:rowOff>7620</xdr:rowOff>
                  </from>
                  <to>
                    <xdr:col>16</xdr:col>
                    <xdr:colOff>129540</xdr:colOff>
                    <xdr:row>29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0" r:id="rId101" name="Option Button 98">
              <controlPr defaultSize="0" autoFill="0" autoLine="0" autoPict="0">
                <anchor moveWithCells="1">
                  <from>
                    <xdr:col>7</xdr:col>
                    <xdr:colOff>91440</xdr:colOff>
                    <xdr:row>29</xdr:row>
                    <xdr:rowOff>45720</xdr:rowOff>
                  </from>
                  <to>
                    <xdr:col>7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1" r:id="rId102" name="Option Button 99">
              <controlPr defaultSize="0" autoFill="0" autoLine="0" autoPict="0">
                <anchor moveWithCells="1">
                  <from>
                    <xdr:col>9</xdr:col>
                    <xdr:colOff>91440</xdr:colOff>
                    <xdr:row>29</xdr:row>
                    <xdr:rowOff>45720</xdr:rowOff>
                  </from>
                  <to>
                    <xdr:col>9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2" r:id="rId103" name="Option Button 100">
              <controlPr defaultSize="0" autoFill="0" autoLine="0" autoPict="0">
                <anchor moveWithCells="1">
                  <from>
                    <xdr:col>11</xdr:col>
                    <xdr:colOff>91440</xdr:colOff>
                    <xdr:row>29</xdr:row>
                    <xdr:rowOff>45720</xdr:rowOff>
                  </from>
                  <to>
                    <xdr:col>11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3" r:id="rId104" name="Option Button 101">
              <controlPr defaultSize="0" autoFill="0" autoLine="0" autoPict="0">
                <anchor moveWithCells="1">
                  <from>
                    <xdr:col>13</xdr:col>
                    <xdr:colOff>91440</xdr:colOff>
                    <xdr:row>29</xdr:row>
                    <xdr:rowOff>45720</xdr:rowOff>
                  </from>
                  <to>
                    <xdr:col>13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4" r:id="rId105" name="Option Button 102">
              <controlPr defaultSize="0" autoFill="0" autoLine="0" autoPict="0">
                <anchor moveWithCells="1">
                  <from>
                    <xdr:col>15</xdr:col>
                    <xdr:colOff>91440</xdr:colOff>
                    <xdr:row>29</xdr:row>
                    <xdr:rowOff>45720</xdr:rowOff>
                  </from>
                  <to>
                    <xdr:col>15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5" r:id="rId106" name="Group Box 103">
              <controlPr defaultSize="0" print="0" autoFill="0" autoPict="0">
                <anchor moveWithCells="1">
                  <from>
                    <xdr:col>6</xdr:col>
                    <xdr:colOff>76200</xdr:colOff>
                    <xdr:row>30</xdr:row>
                    <xdr:rowOff>7620</xdr:rowOff>
                  </from>
                  <to>
                    <xdr:col>16</xdr:col>
                    <xdr:colOff>129540</xdr:colOff>
                    <xdr:row>30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6" r:id="rId107" name="Option Button 104">
              <controlPr defaultSize="0" autoFill="0" autoLine="0" autoPict="0">
                <anchor moveWithCells="1">
                  <from>
                    <xdr:col>7</xdr:col>
                    <xdr:colOff>91440</xdr:colOff>
                    <xdr:row>30</xdr:row>
                    <xdr:rowOff>38100</xdr:rowOff>
                  </from>
                  <to>
                    <xdr:col>7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7" r:id="rId108" name="Option Button 105">
              <controlPr defaultSize="0" autoFill="0" autoLine="0" autoPict="0">
                <anchor moveWithCells="1">
                  <from>
                    <xdr:col>9</xdr:col>
                    <xdr:colOff>91440</xdr:colOff>
                    <xdr:row>30</xdr:row>
                    <xdr:rowOff>38100</xdr:rowOff>
                  </from>
                  <to>
                    <xdr:col>9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8" r:id="rId109" name="Option Button 106">
              <controlPr defaultSize="0" autoFill="0" autoLine="0" autoPict="0">
                <anchor moveWithCells="1">
                  <from>
                    <xdr:col>11</xdr:col>
                    <xdr:colOff>91440</xdr:colOff>
                    <xdr:row>30</xdr:row>
                    <xdr:rowOff>38100</xdr:rowOff>
                  </from>
                  <to>
                    <xdr:col>11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9" r:id="rId110" name="Option Button 107">
              <controlPr defaultSize="0" autoFill="0" autoLine="0" autoPict="0">
                <anchor moveWithCells="1">
                  <from>
                    <xdr:col>13</xdr:col>
                    <xdr:colOff>91440</xdr:colOff>
                    <xdr:row>30</xdr:row>
                    <xdr:rowOff>38100</xdr:rowOff>
                  </from>
                  <to>
                    <xdr:col>13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0" r:id="rId111" name="Option Button 108">
              <controlPr defaultSize="0" autoFill="0" autoLine="0" autoPict="0">
                <anchor moveWithCells="1">
                  <from>
                    <xdr:col>15</xdr:col>
                    <xdr:colOff>91440</xdr:colOff>
                    <xdr:row>30</xdr:row>
                    <xdr:rowOff>38100</xdr:rowOff>
                  </from>
                  <to>
                    <xdr:col>15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1" r:id="rId112" name="Group Box 109">
              <controlPr defaultSize="0" print="0" autoFill="0" autoPict="0">
                <anchor moveWithCells="1">
                  <from>
                    <xdr:col>6</xdr:col>
                    <xdr:colOff>76200</xdr:colOff>
                    <xdr:row>31</xdr:row>
                    <xdr:rowOff>7620</xdr:rowOff>
                  </from>
                  <to>
                    <xdr:col>16</xdr:col>
                    <xdr:colOff>129540</xdr:colOff>
                    <xdr:row>31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2" r:id="rId113" name="Option Button 110">
              <controlPr defaultSize="0" autoFill="0" autoLine="0" autoPict="0">
                <anchor moveWithCells="1">
                  <from>
                    <xdr:col>7</xdr:col>
                    <xdr:colOff>91440</xdr:colOff>
                    <xdr:row>31</xdr:row>
                    <xdr:rowOff>45720</xdr:rowOff>
                  </from>
                  <to>
                    <xdr:col>7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3" r:id="rId114" name="Option Button 111">
              <controlPr defaultSize="0" autoFill="0" autoLine="0" autoPict="0">
                <anchor moveWithCells="1">
                  <from>
                    <xdr:col>9</xdr:col>
                    <xdr:colOff>91440</xdr:colOff>
                    <xdr:row>31</xdr:row>
                    <xdr:rowOff>45720</xdr:rowOff>
                  </from>
                  <to>
                    <xdr:col>9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4" r:id="rId115" name="Option Button 112">
              <controlPr defaultSize="0" autoFill="0" autoLine="0" autoPict="0">
                <anchor moveWithCells="1">
                  <from>
                    <xdr:col>11</xdr:col>
                    <xdr:colOff>91440</xdr:colOff>
                    <xdr:row>31</xdr:row>
                    <xdr:rowOff>45720</xdr:rowOff>
                  </from>
                  <to>
                    <xdr:col>11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5" r:id="rId116" name="Option Button 113">
              <controlPr defaultSize="0" autoFill="0" autoLine="0" autoPict="0">
                <anchor moveWithCells="1">
                  <from>
                    <xdr:col>13</xdr:col>
                    <xdr:colOff>91440</xdr:colOff>
                    <xdr:row>31</xdr:row>
                    <xdr:rowOff>45720</xdr:rowOff>
                  </from>
                  <to>
                    <xdr:col>13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6" r:id="rId117" name="Option Button 114">
              <controlPr defaultSize="0" autoFill="0" autoLine="0" autoPict="0">
                <anchor moveWithCells="1">
                  <from>
                    <xdr:col>15</xdr:col>
                    <xdr:colOff>91440</xdr:colOff>
                    <xdr:row>31</xdr:row>
                    <xdr:rowOff>45720</xdr:rowOff>
                  </from>
                  <to>
                    <xdr:col>15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7" r:id="rId118" name="Group Box 115">
              <controlPr defaultSize="0" print="0" autoFill="0" autoPict="0">
                <anchor moveWithCells="1">
                  <from>
                    <xdr:col>6</xdr:col>
                    <xdr:colOff>76200</xdr:colOff>
                    <xdr:row>33</xdr:row>
                    <xdr:rowOff>22860</xdr:rowOff>
                  </from>
                  <to>
                    <xdr:col>16</xdr:col>
                    <xdr:colOff>129540</xdr:colOff>
                    <xdr:row>33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8" r:id="rId119" name="Option Button 116">
              <controlPr defaultSize="0" autoFill="0" autoLine="0" autoPict="0">
                <anchor moveWithCells="1">
                  <from>
                    <xdr:col>7</xdr:col>
                    <xdr:colOff>91440</xdr:colOff>
                    <xdr:row>33</xdr:row>
                    <xdr:rowOff>53340</xdr:rowOff>
                  </from>
                  <to>
                    <xdr:col>7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9" r:id="rId120" name="Option Button 117">
              <controlPr defaultSize="0" autoFill="0" autoLine="0" autoPict="0">
                <anchor moveWithCells="1">
                  <from>
                    <xdr:col>9</xdr:col>
                    <xdr:colOff>91440</xdr:colOff>
                    <xdr:row>33</xdr:row>
                    <xdr:rowOff>53340</xdr:rowOff>
                  </from>
                  <to>
                    <xdr:col>9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0" r:id="rId121" name="Option Button 118">
              <controlPr defaultSize="0" autoFill="0" autoLine="0" autoPict="0">
                <anchor moveWithCells="1">
                  <from>
                    <xdr:col>11</xdr:col>
                    <xdr:colOff>91440</xdr:colOff>
                    <xdr:row>33</xdr:row>
                    <xdr:rowOff>53340</xdr:rowOff>
                  </from>
                  <to>
                    <xdr:col>11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1" r:id="rId122" name="Option Button 119">
              <controlPr defaultSize="0" autoFill="0" autoLine="0" autoPict="0">
                <anchor moveWithCells="1">
                  <from>
                    <xdr:col>13</xdr:col>
                    <xdr:colOff>91440</xdr:colOff>
                    <xdr:row>33</xdr:row>
                    <xdr:rowOff>53340</xdr:rowOff>
                  </from>
                  <to>
                    <xdr:col>13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2" r:id="rId123" name="Option Button 120">
              <controlPr defaultSize="0" autoFill="0" autoLine="0" autoPict="0">
                <anchor moveWithCells="1">
                  <from>
                    <xdr:col>15</xdr:col>
                    <xdr:colOff>91440</xdr:colOff>
                    <xdr:row>33</xdr:row>
                    <xdr:rowOff>53340</xdr:rowOff>
                  </from>
                  <to>
                    <xdr:col>15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3" r:id="rId124" name="Group Box 121">
              <controlPr defaultSize="0" print="0" autoFill="0" autoPict="0">
                <anchor moveWithCells="1">
                  <from>
                    <xdr:col>6</xdr:col>
                    <xdr:colOff>76200</xdr:colOff>
                    <xdr:row>34</xdr:row>
                    <xdr:rowOff>22860</xdr:rowOff>
                  </from>
                  <to>
                    <xdr:col>16</xdr:col>
                    <xdr:colOff>129540</xdr:colOff>
                    <xdr:row>34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4" r:id="rId125" name="Option Button 122">
              <controlPr defaultSize="0" autoFill="0" autoLine="0" autoPict="0">
                <anchor moveWithCells="1">
                  <from>
                    <xdr:col>7</xdr:col>
                    <xdr:colOff>91440</xdr:colOff>
                    <xdr:row>34</xdr:row>
                    <xdr:rowOff>45720</xdr:rowOff>
                  </from>
                  <to>
                    <xdr:col>7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5" r:id="rId126" name="Option Button 123">
              <controlPr defaultSize="0" autoFill="0" autoLine="0" autoPict="0">
                <anchor moveWithCells="1">
                  <from>
                    <xdr:col>9</xdr:col>
                    <xdr:colOff>91440</xdr:colOff>
                    <xdr:row>34</xdr:row>
                    <xdr:rowOff>45720</xdr:rowOff>
                  </from>
                  <to>
                    <xdr:col>9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6" r:id="rId127" name="Option Button 124">
              <controlPr defaultSize="0" autoFill="0" autoLine="0" autoPict="0">
                <anchor moveWithCells="1">
                  <from>
                    <xdr:col>11</xdr:col>
                    <xdr:colOff>91440</xdr:colOff>
                    <xdr:row>34</xdr:row>
                    <xdr:rowOff>45720</xdr:rowOff>
                  </from>
                  <to>
                    <xdr:col>11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7" r:id="rId128" name="Option Button 125">
              <controlPr defaultSize="0" autoFill="0" autoLine="0" autoPict="0">
                <anchor moveWithCells="1">
                  <from>
                    <xdr:col>13</xdr:col>
                    <xdr:colOff>91440</xdr:colOff>
                    <xdr:row>34</xdr:row>
                    <xdr:rowOff>45720</xdr:rowOff>
                  </from>
                  <to>
                    <xdr:col>13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8" r:id="rId129" name="Option Button 126">
              <controlPr defaultSize="0" autoFill="0" autoLine="0" autoPict="0">
                <anchor moveWithCells="1">
                  <from>
                    <xdr:col>15</xdr:col>
                    <xdr:colOff>91440</xdr:colOff>
                    <xdr:row>34</xdr:row>
                    <xdr:rowOff>45720</xdr:rowOff>
                  </from>
                  <to>
                    <xdr:col>15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9" r:id="rId130" name="Group Box 127">
              <controlPr defaultSize="0" print="0" autoFill="0" autoPict="0">
                <anchor moveWithCells="1">
                  <from>
                    <xdr:col>6</xdr:col>
                    <xdr:colOff>76200</xdr:colOff>
                    <xdr:row>35</xdr:row>
                    <xdr:rowOff>22860</xdr:rowOff>
                  </from>
                  <to>
                    <xdr:col>16</xdr:col>
                    <xdr:colOff>129540</xdr:colOff>
                    <xdr:row>35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0" r:id="rId131" name="Option Button 128">
              <controlPr defaultSize="0" autoFill="0" autoLine="0" autoPict="0">
                <anchor moveWithCells="1">
                  <from>
                    <xdr:col>7</xdr:col>
                    <xdr:colOff>91440</xdr:colOff>
                    <xdr:row>35</xdr:row>
                    <xdr:rowOff>45720</xdr:rowOff>
                  </from>
                  <to>
                    <xdr:col>7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1" r:id="rId132" name="Option Button 129">
              <controlPr defaultSize="0" autoFill="0" autoLine="0" autoPict="0">
                <anchor moveWithCells="1">
                  <from>
                    <xdr:col>9</xdr:col>
                    <xdr:colOff>91440</xdr:colOff>
                    <xdr:row>35</xdr:row>
                    <xdr:rowOff>45720</xdr:rowOff>
                  </from>
                  <to>
                    <xdr:col>9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2" r:id="rId133" name="Option Button 130">
              <controlPr defaultSize="0" autoFill="0" autoLine="0" autoPict="0">
                <anchor moveWithCells="1">
                  <from>
                    <xdr:col>11</xdr:col>
                    <xdr:colOff>91440</xdr:colOff>
                    <xdr:row>35</xdr:row>
                    <xdr:rowOff>45720</xdr:rowOff>
                  </from>
                  <to>
                    <xdr:col>11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3" r:id="rId134" name="Option Button 131">
              <controlPr defaultSize="0" autoFill="0" autoLine="0" autoPict="0">
                <anchor moveWithCells="1">
                  <from>
                    <xdr:col>13</xdr:col>
                    <xdr:colOff>91440</xdr:colOff>
                    <xdr:row>35</xdr:row>
                    <xdr:rowOff>45720</xdr:rowOff>
                  </from>
                  <to>
                    <xdr:col>13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4" r:id="rId135" name="Option Button 132">
              <controlPr defaultSize="0" autoFill="0" autoLine="0" autoPict="0">
                <anchor moveWithCells="1">
                  <from>
                    <xdr:col>15</xdr:col>
                    <xdr:colOff>91440</xdr:colOff>
                    <xdr:row>35</xdr:row>
                    <xdr:rowOff>45720</xdr:rowOff>
                  </from>
                  <to>
                    <xdr:col>15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5" r:id="rId136" name="Group Box 133">
              <controlPr defaultSize="0" print="0" autoFill="0" autoPict="0">
                <anchor moveWithCells="1">
                  <from>
                    <xdr:col>6</xdr:col>
                    <xdr:colOff>76200</xdr:colOff>
                    <xdr:row>36</xdr:row>
                    <xdr:rowOff>22860</xdr:rowOff>
                  </from>
                  <to>
                    <xdr:col>16</xdr:col>
                    <xdr:colOff>129540</xdr:colOff>
                    <xdr:row>36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6" r:id="rId137" name="Option Button 134">
              <controlPr defaultSize="0" autoFill="0" autoLine="0" autoPict="0">
                <anchor moveWithCells="1">
                  <from>
                    <xdr:col>7</xdr:col>
                    <xdr:colOff>91440</xdr:colOff>
                    <xdr:row>36</xdr:row>
                    <xdr:rowOff>45720</xdr:rowOff>
                  </from>
                  <to>
                    <xdr:col>7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7" r:id="rId138" name="Option Button 135">
              <controlPr defaultSize="0" autoFill="0" autoLine="0" autoPict="0">
                <anchor moveWithCells="1">
                  <from>
                    <xdr:col>9</xdr:col>
                    <xdr:colOff>91440</xdr:colOff>
                    <xdr:row>36</xdr:row>
                    <xdr:rowOff>45720</xdr:rowOff>
                  </from>
                  <to>
                    <xdr:col>9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8" r:id="rId139" name="Option Button 136">
              <controlPr defaultSize="0" autoFill="0" autoLine="0" autoPict="0">
                <anchor moveWithCells="1">
                  <from>
                    <xdr:col>11</xdr:col>
                    <xdr:colOff>91440</xdr:colOff>
                    <xdr:row>36</xdr:row>
                    <xdr:rowOff>45720</xdr:rowOff>
                  </from>
                  <to>
                    <xdr:col>11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9" r:id="rId140" name="Option Button 137">
              <controlPr defaultSize="0" autoFill="0" autoLine="0" autoPict="0">
                <anchor moveWithCells="1">
                  <from>
                    <xdr:col>13</xdr:col>
                    <xdr:colOff>91440</xdr:colOff>
                    <xdr:row>36</xdr:row>
                    <xdr:rowOff>45720</xdr:rowOff>
                  </from>
                  <to>
                    <xdr:col>13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0" r:id="rId141" name="Option Button 138">
              <controlPr defaultSize="0" autoFill="0" autoLine="0" autoPict="0">
                <anchor moveWithCells="1">
                  <from>
                    <xdr:col>15</xdr:col>
                    <xdr:colOff>91440</xdr:colOff>
                    <xdr:row>36</xdr:row>
                    <xdr:rowOff>45720</xdr:rowOff>
                  </from>
                  <to>
                    <xdr:col>15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1" r:id="rId142" name="Group Box 139">
              <controlPr defaultSize="0" print="0" autoFill="0" autoPict="0">
                <anchor moveWithCells="1">
                  <from>
                    <xdr:col>6</xdr:col>
                    <xdr:colOff>76200</xdr:colOff>
                    <xdr:row>37</xdr:row>
                    <xdr:rowOff>22860</xdr:rowOff>
                  </from>
                  <to>
                    <xdr:col>16</xdr:col>
                    <xdr:colOff>129540</xdr:colOff>
                    <xdr:row>37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2" r:id="rId143" name="Option Button 140">
              <controlPr defaultSize="0" autoFill="0" autoLine="0" autoPict="0">
                <anchor moveWithCells="1">
                  <from>
                    <xdr:col>7</xdr:col>
                    <xdr:colOff>91440</xdr:colOff>
                    <xdr:row>37</xdr:row>
                    <xdr:rowOff>53340</xdr:rowOff>
                  </from>
                  <to>
                    <xdr:col>7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3" r:id="rId144" name="Option Button 141">
              <controlPr defaultSize="0" autoFill="0" autoLine="0" autoPict="0">
                <anchor moveWithCells="1">
                  <from>
                    <xdr:col>9</xdr:col>
                    <xdr:colOff>91440</xdr:colOff>
                    <xdr:row>37</xdr:row>
                    <xdr:rowOff>53340</xdr:rowOff>
                  </from>
                  <to>
                    <xdr:col>9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4" r:id="rId145" name="Option Button 142">
              <controlPr defaultSize="0" autoFill="0" autoLine="0" autoPict="0">
                <anchor moveWithCells="1">
                  <from>
                    <xdr:col>11</xdr:col>
                    <xdr:colOff>91440</xdr:colOff>
                    <xdr:row>37</xdr:row>
                    <xdr:rowOff>53340</xdr:rowOff>
                  </from>
                  <to>
                    <xdr:col>11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5" r:id="rId146" name="Option Button 143">
              <controlPr defaultSize="0" autoFill="0" autoLine="0" autoPict="0">
                <anchor moveWithCells="1">
                  <from>
                    <xdr:col>13</xdr:col>
                    <xdr:colOff>91440</xdr:colOff>
                    <xdr:row>37</xdr:row>
                    <xdr:rowOff>53340</xdr:rowOff>
                  </from>
                  <to>
                    <xdr:col>13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6" r:id="rId147" name="Option Button 144">
              <controlPr defaultSize="0" autoFill="0" autoLine="0" autoPict="0">
                <anchor moveWithCells="1">
                  <from>
                    <xdr:col>15</xdr:col>
                    <xdr:colOff>91440</xdr:colOff>
                    <xdr:row>37</xdr:row>
                    <xdr:rowOff>53340</xdr:rowOff>
                  </from>
                  <to>
                    <xdr:col>15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7" r:id="rId148" name="Group Box 145">
              <controlPr defaultSize="0" print="0" autoFill="0" autoPict="0">
                <anchor moveWithCells="1">
                  <from>
                    <xdr:col>6</xdr:col>
                    <xdr:colOff>76200</xdr:colOff>
                    <xdr:row>39</xdr:row>
                    <xdr:rowOff>30480</xdr:rowOff>
                  </from>
                  <to>
                    <xdr:col>16</xdr:col>
                    <xdr:colOff>129540</xdr:colOff>
                    <xdr:row>39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8" r:id="rId149" name="Option Button 146">
              <controlPr defaultSize="0" autoFill="0" autoLine="0" autoPict="0">
                <anchor moveWithCells="1">
                  <from>
                    <xdr:col>7</xdr:col>
                    <xdr:colOff>91440</xdr:colOff>
                    <xdr:row>39</xdr:row>
                    <xdr:rowOff>60960</xdr:rowOff>
                  </from>
                  <to>
                    <xdr:col>7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9" r:id="rId150" name="Option Button 147">
              <controlPr defaultSize="0" autoFill="0" autoLine="0" autoPict="0">
                <anchor moveWithCells="1">
                  <from>
                    <xdr:col>9</xdr:col>
                    <xdr:colOff>91440</xdr:colOff>
                    <xdr:row>39</xdr:row>
                    <xdr:rowOff>60960</xdr:rowOff>
                  </from>
                  <to>
                    <xdr:col>9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0" r:id="rId151" name="Option Button 148">
              <controlPr defaultSize="0" autoFill="0" autoLine="0" autoPict="0">
                <anchor moveWithCells="1">
                  <from>
                    <xdr:col>11</xdr:col>
                    <xdr:colOff>91440</xdr:colOff>
                    <xdr:row>39</xdr:row>
                    <xdr:rowOff>60960</xdr:rowOff>
                  </from>
                  <to>
                    <xdr:col>11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1" r:id="rId152" name="Option Button 149">
              <controlPr defaultSize="0" autoFill="0" autoLine="0" autoPict="0">
                <anchor moveWithCells="1">
                  <from>
                    <xdr:col>13</xdr:col>
                    <xdr:colOff>91440</xdr:colOff>
                    <xdr:row>39</xdr:row>
                    <xdr:rowOff>60960</xdr:rowOff>
                  </from>
                  <to>
                    <xdr:col>13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2" r:id="rId153" name="Option Button 150">
              <controlPr defaultSize="0" autoFill="0" autoLine="0" autoPict="0">
                <anchor moveWithCells="1">
                  <from>
                    <xdr:col>15</xdr:col>
                    <xdr:colOff>91440</xdr:colOff>
                    <xdr:row>39</xdr:row>
                    <xdr:rowOff>60960</xdr:rowOff>
                  </from>
                  <to>
                    <xdr:col>15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3" r:id="rId154" name="Group Box 151">
              <controlPr defaultSize="0" print="0" autoFill="0" autoPict="0">
                <anchor moveWithCells="1">
                  <from>
                    <xdr:col>6</xdr:col>
                    <xdr:colOff>76200</xdr:colOff>
                    <xdr:row>41</xdr:row>
                    <xdr:rowOff>7620</xdr:rowOff>
                  </from>
                  <to>
                    <xdr:col>16</xdr:col>
                    <xdr:colOff>129540</xdr:colOff>
                    <xdr:row>41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4" r:id="rId155" name="Option Button 152">
              <controlPr defaultSize="0" autoFill="0" autoLine="0" autoPict="0">
                <anchor moveWithCells="1">
                  <from>
                    <xdr:col>7</xdr:col>
                    <xdr:colOff>91440</xdr:colOff>
                    <xdr:row>41</xdr:row>
                    <xdr:rowOff>45720</xdr:rowOff>
                  </from>
                  <to>
                    <xdr:col>7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5" r:id="rId156" name="Option Button 153">
              <controlPr defaultSize="0" autoFill="0" autoLine="0" autoPict="0">
                <anchor moveWithCells="1">
                  <from>
                    <xdr:col>9</xdr:col>
                    <xdr:colOff>91440</xdr:colOff>
                    <xdr:row>41</xdr:row>
                    <xdr:rowOff>45720</xdr:rowOff>
                  </from>
                  <to>
                    <xdr:col>9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6" r:id="rId157" name="Option Button 154">
              <controlPr defaultSize="0" autoFill="0" autoLine="0" autoPict="0">
                <anchor moveWithCells="1">
                  <from>
                    <xdr:col>11</xdr:col>
                    <xdr:colOff>91440</xdr:colOff>
                    <xdr:row>41</xdr:row>
                    <xdr:rowOff>45720</xdr:rowOff>
                  </from>
                  <to>
                    <xdr:col>11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7" r:id="rId158" name="Option Button 155">
              <controlPr defaultSize="0" autoFill="0" autoLine="0" autoPict="0">
                <anchor moveWithCells="1">
                  <from>
                    <xdr:col>13</xdr:col>
                    <xdr:colOff>91440</xdr:colOff>
                    <xdr:row>41</xdr:row>
                    <xdr:rowOff>45720</xdr:rowOff>
                  </from>
                  <to>
                    <xdr:col>13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8" r:id="rId159" name="Option Button 156">
              <controlPr defaultSize="0" autoFill="0" autoLine="0" autoPict="0">
                <anchor moveWithCells="1">
                  <from>
                    <xdr:col>15</xdr:col>
                    <xdr:colOff>91440</xdr:colOff>
                    <xdr:row>41</xdr:row>
                    <xdr:rowOff>45720</xdr:rowOff>
                  </from>
                  <to>
                    <xdr:col>15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9" r:id="rId160" name="Group Box 157">
              <controlPr defaultSize="0" print="0" autoFill="0" autoPict="0">
                <anchor moveWithCells="1">
                  <from>
                    <xdr:col>6</xdr:col>
                    <xdr:colOff>76200</xdr:colOff>
                    <xdr:row>42</xdr:row>
                    <xdr:rowOff>7620</xdr:rowOff>
                  </from>
                  <to>
                    <xdr:col>16</xdr:col>
                    <xdr:colOff>129540</xdr:colOff>
                    <xdr:row>42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0" r:id="rId161" name="Option Button 158">
              <controlPr defaultSize="0" autoFill="0" autoLine="0" autoPict="0">
                <anchor moveWithCells="1">
                  <from>
                    <xdr:col>7</xdr:col>
                    <xdr:colOff>91440</xdr:colOff>
                    <xdr:row>42</xdr:row>
                    <xdr:rowOff>45720</xdr:rowOff>
                  </from>
                  <to>
                    <xdr:col>7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1" r:id="rId162" name="Option Button 159">
              <controlPr defaultSize="0" autoFill="0" autoLine="0" autoPict="0">
                <anchor moveWithCells="1">
                  <from>
                    <xdr:col>9</xdr:col>
                    <xdr:colOff>91440</xdr:colOff>
                    <xdr:row>42</xdr:row>
                    <xdr:rowOff>45720</xdr:rowOff>
                  </from>
                  <to>
                    <xdr:col>9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2" r:id="rId163" name="Option Button 160">
              <controlPr defaultSize="0" autoFill="0" autoLine="0" autoPict="0">
                <anchor moveWithCells="1">
                  <from>
                    <xdr:col>11</xdr:col>
                    <xdr:colOff>91440</xdr:colOff>
                    <xdr:row>42</xdr:row>
                    <xdr:rowOff>45720</xdr:rowOff>
                  </from>
                  <to>
                    <xdr:col>11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3" r:id="rId164" name="Option Button 161">
              <controlPr defaultSize="0" autoFill="0" autoLine="0" autoPict="0">
                <anchor moveWithCells="1">
                  <from>
                    <xdr:col>13</xdr:col>
                    <xdr:colOff>91440</xdr:colOff>
                    <xdr:row>42</xdr:row>
                    <xdr:rowOff>45720</xdr:rowOff>
                  </from>
                  <to>
                    <xdr:col>13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4" r:id="rId165" name="Option Button 162">
              <controlPr defaultSize="0" autoFill="0" autoLine="0" autoPict="0">
                <anchor moveWithCells="1">
                  <from>
                    <xdr:col>15</xdr:col>
                    <xdr:colOff>91440</xdr:colOff>
                    <xdr:row>42</xdr:row>
                    <xdr:rowOff>45720</xdr:rowOff>
                  </from>
                  <to>
                    <xdr:col>15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5" r:id="rId166" name="Group Box 163">
              <controlPr defaultSize="0" print="0" autoFill="0" autoPict="0">
                <anchor moveWithCells="1">
                  <from>
                    <xdr:col>6</xdr:col>
                    <xdr:colOff>76200</xdr:colOff>
                    <xdr:row>43</xdr:row>
                    <xdr:rowOff>0</xdr:rowOff>
                  </from>
                  <to>
                    <xdr:col>16</xdr:col>
                    <xdr:colOff>129540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6" r:id="rId167" name="Option Button 164">
              <controlPr defaultSize="0" autoFill="0" autoLine="0" autoPict="0">
                <anchor moveWithCells="1">
                  <from>
                    <xdr:col>7</xdr:col>
                    <xdr:colOff>91440</xdr:colOff>
                    <xdr:row>43</xdr:row>
                    <xdr:rowOff>30480</xdr:rowOff>
                  </from>
                  <to>
                    <xdr:col>7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7" r:id="rId168" name="Option Button 165">
              <controlPr defaultSize="0" autoFill="0" autoLine="0" autoPict="0">
                <anchor moveWithCells="1">
                  <from>
                    <xdr:col>9</xdr:col>
                    <xdr:colOff>91440</xdr:colOff>
                    <xdr:row>43</xdr:row>
                    <xdr:rowOff>30480</xdr:rowOff>
                  </from>
                  <to>
                    <xdr:col>9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8" r:id="rId169" name="Option Button 166">
              <controlPr defaultSize="0" autoFill="0" autoLine="0" autoPict="0">
                <anchor moveWithCells="1">
                  <from>
                    <xdr:col>11</xdr:col>
                    <xdr:colOff>91440</xdr:colOff>
                    <xdr:row>43</xdr:row>
                    <xdr:rowOff>30480</xdr:rowOff>
                  </from>
                  <to>
                    <xdr:col>11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9" r:id="rId170" name="Option Button 167">
              <controlPr defaultSize="0" autoFill="0" autoLine="0" autoPict="0">
                <anchor moveWithCells="1">
                  <from>
                    <xdr:col>13</xdr:col>
                    <xdr:colOff>91440</xdr:colOff>
                    <xdr:row>43</xdr:row>
                    <xdr:rowOff>30480</xdr:rowOff>
                  </from>
                  <to>
                    <xdr:col>13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0" r:id="rId171" name="Option Button 168">
              <controlPr defaultSize="0" autoFill="0" autoLine="0" autoPict="0">
                <anchor moveWithCells="1">
                  <from>
                    <xdr:col>15</xdr:col>
                    <xdr:colOff>91440</xdr:colOff>
                    <xdr:row>43</xdr:row>
                    <xdr:rowOff>30480</xdr:rowOff>
                  </from>
                  <to>
                    <xdr:col>15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1" r:id="rId172" name="Group Box 169">
              <controlPr defaultSize="0" print="0" autoFill="0" autoPict="0">
                <anchor moveWithCells="1">
                  <from>
                    <xdr:col>6</xdr:col>
                    <xdr:colOff>76200</xdr:colOff>
                    <xdr:row>44</xdr:row>
                    <xdr:rowOff>7620</xdr:rowOff>
                  </from>
                  <to>
                    <xdr:col>16</xdr:col>
                    <xdr:colOff>129540</xdr:colOff>
                    <xdr:row>44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2" r:id="rId173" name="Option Button 170">
              <controlPr defaultSize="0" autoFill="0" autoLine="0" autoPict="0">
                <anchor moveWithCells="1">
                  <from>
                    <xdr:col>7</xdr:col>
                    <xdr:colOff>91440</xdr:colOff>
                    <xdr:row>44</xdr:row>
                    <xdr:rowOff>45720</xdr:rowOff>
                  </from>
                  <to>
                    <xdr:col>7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3" r:id="rId174" name="Option Button 171">
              <controlPr defaultSize="0" autoFill="0" autoLine="0" autoPict="0">
                <anchor moveWithCells="1">
                  <from>
                    <xdr:col>9</xdr:col>
                    <xdr:colOff>91440</xdr:colOff>
                    <xdr:row>44</xdr:row>
                    <xdr:rowOff>45720</xdr:rowOff>
                  </from>
                  <to>
                    <xdr:col>9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4" r:id="rId175" name="Option Button 172">
              <controlPr defaultSize="0" autoFill="0" autoLine="0" autoPict="0">
                <anchor moveWithCells="1">
                  <from>
                    <xdr:col>11</xdr:col>
                    <xdr:colOff>91440</xdr:colOff>
                    <xdr:row>44</xdr:row>
                    <xdr:rowOff>45720</xdr:rowOff>
                  </from>
                  <to>
                    <xdr:col>11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5" r:id="rId176" name="Option Button 173">
              <controlPr defaultSize="0" autoFill="0" autoLine="0" autoPict="0">
                <anchor moveWithCells="1">
                  <from>
                    <xdr:col>13</xdr:col>
                    <xdr:colOff>91440</xdr:colOff>
                    <xdr:row>44</xdr:row>
                    <xdr:rowOff>45720</xdr:rowOff>
                  </from>
                  <to>
                    <xdr:col>13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6" r:id="rId177" name="Option Button 174">
              <controlPr defaultSize="0" autoFill="0" autoLine="0" autoPict="0">
                <anchor moveWithCells="1">
                  <from>
                    <xdr:col>15</xdr:col>
                    <xdr:colOff>91440</xdr:colOff>
                    <xdr:row>44</xdr:row>
                    <xdr:rowOff>45720</xdr:rowOff>
                  </from>
                  <to>
                    <xdr:col>15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7" r:id="rId178" name="Group Box 175">
              <controlPr defaultSize="0" print="0" autoFill="0" autoPict="0">
                <anchor moveWithCells="1">
                  <from>
                    <xdr:col>6</xdr:col>
                    <xdr:colOff>76200</xdr:colOff>
                    <xdr:row>46</xdr:row>
                    <xdr:rowOff>30480</xdr:rowOff>
                  </from>
                  <to>
                    <xdr:col>16</xdr:col>
                    <xdr:colOff>129540</xdr:colOff>
                    <xdr:row>46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8" r:id="rId179" name="Option Button 176">
              <controlPr defaultSize="0" autoFill="0" autoLine="0" autoPict="0">
                <anchor moveWithCells="1">
                  <from>
                    <xdr:col>7</xdr:col>
                    <xdr:colOff>91440</xdr:colOff>
                    <xdr:row>46</xdr:row>
                    <xdr:rowOff>60960</xdr:rowOff>
                  </from>
                  <to>
                    <xdr:col>7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9" r:id="rId180" name="Option Button 177">
              <controlPr defaultSize="0" autoFill="0" autoLine="0" autoPict="0">
                <anchor moveWithCells="1">
                  <from>
                    <xdr:col>9</xdr:col>
                    <xdr:colOff>91440</xdr:colOff>
                    <xdr:row>46</xdr:row>
                    <xdr:rowOff>60960</xdr:rowOff>
                  </from>
                  <to>
                    <xdr:col>9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0" r:id="rId181" name="Option Button 178">
              <controlPr defaultSize="0" autoFill="0" autoLine="0" autoPict="0">
                <anchor moveWithCells="1">
                  <from>
                    <xdr:col>11</xdr:col>
                    <xdr:colOff>91440</xdr:colOff>
                    <xdr:row>46</xdr:row>
                    <xdr:rowOff>60960</xdr:rowOff>
                  </from>
                  <to>
                    <xdr:col>11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1" r:id="rId182" name="Option Button 179">
              <controlPr defaultSize="0" autoFill="0" autoLine="0" autoPict="0">
                <anchor moveWithCells="1">
                  <from>
                    <xdr:col>13</xdr:col>
                    <xdr:colOff>91440</xdr:colOff>
                    <xdr:row>46</xdr:row>
                    <xdr:rowOff>60960</xdr:rowOff>
                  </from>
                  <to>
                    <xdr:col>13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2" r:id="rId183" name="Option Button 180">
              <controlPr defaultSize="0" autoFill="0" autoLine="0" autoPict="0">
                <anchor moveWithCells="1">
                  <from>
                    <xdr:col>15</xdr:col>
                    <xdr:colOff>91440</xdr:colOff>
                    <xdr:row>46</xdr:row>
                    <xdr:rowOff>60960</xdr:rowOff>
                  </from>
                  <to>
                    <xdr:col>15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3" r:id="rId184" name="Group Box 181">
              <controlPr defaultSize="0" print="0" autoFill="0" autoPict="0">
                <anchor moveWithCells="1">
                  <from>
                    <xdr:col>6</xdr:col>
                    <xdr:colOff>76200</xdr:colOff>
                    <xdr:row>47</xdr:row>
                    <xdr:rowOff>22860</xdr:rowOff>
                  </from>
                  <to>
                    <xdr:col>16</xdr:col>
                    <xdr:colOff>129540</xdr:colOff>
                    <xdr:row>47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4" r:id="rId185" name="Option Button 182">
              <controlPr defaultSize="0" autoFill="0" autoLine="0" autoPict="0">
                <anchor moveWithCells="1">
                  <from>
                    <xdr:col>7</xdr:col>
                    <xdr:colOff>91440</xdr:colOff>
                    <xdr:row>47</xdr:row>
                    <xdr:rowOff>45720</xdr:rowOff>
                  </from>
                  <to>
                    <xdr:col>7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5" r:id="rId186" name="Option Button 183">
              <controlPr defaultSize="0" autoFill="0" autoLine="0" autoPict="0">
                <anchor moveWithCells="1">
                  <from>
                    <xdr:col>9</xdr:col>
                    <xdr:colOff>91440</xdr:colOff>
                    <xdr:row>47</xdr:row>
                    <xdr:rowOff>45720</xdr:rowOff>
                  </from>
                  <to>
                    <xdr:col>9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6" r:id="rId187" name="Option Button 184">
              <controlPr defaultSize="0" autoFill="0" autoLine="0" autoPict="0">
                <anchor moveWithCells="1">
                  <from>
                    <xdr:col>11</xdr:col>
                    <xdr:colOff>91440</xdr:colOff>
                    <xdr:row>47</xdr:row>
                    <xdr:rowOff>45720</xdr:rowOff>
                  </from>
                  <to>
                    <xdr:col>11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7" r:id="rId188" name="Option Button 185">
              <controlPr defaultSize="0" autoFill="0" autoLine="0" autoPict="0">
                <anchor moveWithCells="1">
                  <from>
                    <xdr:col>13</xdr:col>
                    <xdr:colOff>91440</xdr:colOff>
                    <xdr:row>47</xdr:row>
                    <xdr:rowOff>45720</xdr:rowOff>
                  </from>
                  <to>
                    <xdr:col>13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8" r:id="rId189" name="Option Button 186">
              <controlPr defaultSize="0" autoFill="0" autoLine="0" autoPict="0">
                <anchor moveWithCells="1">
                  <from>
                    <xdr:col>15</xdr:col>
                    <xdr:colOff>91440</xdr:colOff>
                    <xdr:row>47</xdr:row>
                    <xdr:rowOff>45720</xdr:rowOff>
                  </from>
                  <to>
                    <xdr:col>15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9" r:id="rId190" name="Group Box 187">
              <controlPr defaultSize="0" print="0" autoFill="0" autoPict="0">
                <anchor moveWithCells="1">
                  <from>
                    <xdr:col>6</xdr:col>
                    <xdr:colOff>76200</xdr:colOff>
                    <xdr:row>48</xdr:row>
                    <xdr:rowOff>30480</xdr:rowOff>
                  </from>
                  <to>
                    <xdr:col>16</xdr:col>
                    <xdr:colOff>129540</xdr:colOff>
                    <xdr:row>48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0" r:id="rId191" name="Option Button 188">
              <controlPr defaultSize="0" autoFill="0" autoLine="0" autoPict="0">
                <anchor moveWithCells="1">
                  <from>
                    <xdr:col>7</xdr:col>
                    <xdr:colOff>91440</xdr:colOff>
                    <xdr:row>48</xdr:row>
                    <xdr:rowOff>60960</xdr:rowOff>
                  </from>
                  <to>
                    <xdr:col>7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1" r:id="rId192" name="Option Button 189">
              <controlPr defaultSize="0" autoFill="0" autoLine="0" autoPict="0">
                <anchor moveWithCells="1">
                  <from>
                    <xdr:col>9</xdr:col>
                    <xdr:colOff>91440</xdr:colOff>
                    <xdr:row>48</xdr:row>
                    <xdr:rowOff>60960</xdr:rowOff>
                  </from>
                  <to>
                    <xdr:col>9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2" r:id="rId193" name="Option Button 190">
              <controlPr defaultSize="0" autoFill="0" autoLine="0" autoPict="0">
                <anchor moveWithCells="1">
                  <from>
                    <xdr:col>11</xdr:col>
                    <xdr:colOff>91440</xdr:colOff>
                    <xdr:row>48</xdr:row>
                    <xdr:rowOff>60960</xdr:rowOff>
                  </from>
                  <to>
                    <xdr:col>11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3" r:id="rId194" name="Option Button 191">
              <controlPr defaultSize="0" autoFill="0" autoLine="0" autoPict="0">
                <anchor moveWithCells="1">
                  <from>
                    <xdr:col>13</xdr:col>
                    <xdr:colOff>91440</xdr:colOff>
                    <xdr:row>48</xdr:row>
                    <xdr:rowOff>60960</xdr:rowOff>
                  </from>
                  <to>
                    <xdr:col>13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4" r:id="rId195" name="Option Button 192">
              <controlPr defaultSize="0" autoFill="0" autoLine="0" autoPict="0">
                <anchor moveWithCells="1">
                  <from>
                    <xdr:col>15</xdr:col>
                    <xdr:colOff>91440</xdr:colOff>
                    <xdr:row>48</xdr:row>
                    <xdr:rowOff>60960</xdr:rowOff>
                  </from>
                  <to>
                    <xdr:col>15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5" r:id="rId196" name="Group Box 193">
              <controlPr defaultSize="0" print="0" autoFill="0" autoPict="0">
                <anchor moveWithCells="1">
                  <from>
                    <xdr:col>6</xdr:col>
                    <xdr:colOff>76200</xdr:colOff>
                    <xdr:row>50</xdr:row>
                    <xdr:rowOff>7620</xdr:rowOff>
                  </from>
                  <to>
                    <xdr:col>16</xdr:col>
                    <xdr:colOff>129540</xdr:colOff>
                    <xdr:row>50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6" r:id="rId197" name="Option Button 194">
              <controlPr defaultSize="0" autoFill="0" autoLine="0" autoPict="0">
                <anchor moveWithCells="1">
                  <from>
                    <xdr:col>7</xdr:col>
                    <xdr:colOff>91440</xdr:colOff>
                    <xdr:row>50</xdr:row>
                    <xdr:rowOff>45720</xdr:rowOff>
                  </from>
                  <to>
                    <xdr:col>7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7" r:id="rId198" name="Option Button 195">
              <controlPr defaultSize="0" autoFill="0" autoLine="0" autoPict="0">
                <anchor moveWithCells="1">
                  <from>
                    <xdr:col>9</xdr:col>
                    <xdr:colOff>91440</xdr:colOff>
                    <xdr:row>50</xdr:row>
                    <xdr:rowOff>45720</xdr:rowOff>
                  </from>
                  <to>
                    <xdr:col>9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8" r:id="rId199" name="Option Button 196">
              <controlPr defaultSize="0" autoFill="0" autoLine="0" autoPict="0">
                <anchor moveWithCells="1">
                  <from>
                    <xdr:col>11</xdr:col>
                    <xdr:colOff>91440</xdr:colOff>
                    <xdr:row>50</xdr:row>
                    <xdr:rowOff>45720</xdr:rowOff>
                  </from>
                  <to>
                    <xdr:col>11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9" r:id="rId200" name="Option Button 197">
              <controlPr defaultSize="0" autoFill="0" autoLine="0" autoPict="0">
                <anchor moveWithCells="1">
                  <from>
                    <xdr:col>13</xdr:col>
                    <xdr:colOff>91440</xdr:colOff>
                    <xdr:row>50</xdr:row>
                    <xdr:rowOff>45720</xdr:rowOff>
                  </from>
                  <to>
                    <xdr:col>13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0" r:id="rId201" name="Option Button 198">
              <controlPr defaultSize="0" autoFill="0" autoLine="0" autoPict="0">
                <anchor moveWithCells="1">
                  <from>
                    <xdr:col>15</xdr:col>
                    <xdr:colOff>91440</xdr:colOff>
                    <xdr:row>50</xdr:row>
                    <xdr:rowOff>45720</xdr:rowOff>
                  </from>
                  <to>
                    <xdr:col>15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1" r:id="rId202" name="Group Box 199">
              <controlPr defaultSize="0" print="0" autoFill="0" autoPict="0">
                <anchor moveWithCells="1">
                  <from>
                    <xdr:col>6</xdr:col>
                    <xdr:colOff>76200</xdr:colOff>
                    <xdr:row>51</xdr:row>
                    <xdr:rowOff>7620</xdr:rowOff>
                  </from>
                  <to>
                    <xdr:col>16</xdr:col>
                    <xdr:colOff>129540</xdr:colOff>
                    <xdr:row>51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2" r:id="rId203" name="Option Button 200">
              <controlPr defaultSize="0" autoFill="0" autoLine="0" autoPict="0">
                <anchor moveWithCells="1">
                  <from>
                    <xdr:col>7</xdr:col>
                    <xdr:colOff>91440</xdr:colOff>
                    <xdr:row>51</xdr:row>
                    <xdr:rowOff>45720</xdr:rowOff>
                  </from>
                  <to>
                    <xdr:col>7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3" r:id="rId204" name="Option Button 201">
              <controlPr defaultSize="0" autoFill="0" autoLine="0" autoPict="0">
                <anchor moveWithCells="1">
                  <from>
                    <xdr:col>9</xdr:col>
                    <xdr:colOff>91440</xdr:colOff>
                    <xdr:row>51</xdr:row>
                    <xdr:rowOff>45720</xdr:rowOff>
                  </from>
                  <to>
                    <xdr:col>9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4" r:id="rId205" name="Option Button 202">
              <controlPr defaultSize="0" autoFill="0" autoLine="0" autoPict="0">
                <anchor moveWithCells="1">
                  <from>
                    <xdr:col>11</xdr:col>
                    <xdr:colOff>91440</xdr:colOff>
                    <xdr:row>51</xdr:row>
                    <xdr:rowOff>45720</xdr:rowOff>
                  </from>
                  <to>
                    <xdr:col>11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5" r:id="rId206" name="Option Button 203">
              <controlPr defaultSize="0" autoFill="0" autoLine="0" autoPict="0">
                <anchor moveWithCells="1">
                  <from>
                    <xdr:col>13</xdr:col>
                    <xdr:colOff>91440</xdr:colOff>
                    <xdr:row>51</xdr:row>
                    <xdr:rowOff>45720</xdr:rowOff>
                  </from>
                  <to>
                    <xdr:col>13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6" r:id="rId207" name="Option Button 204">
              <controlPr defaultSize="0" autoFill="0" autoLine="0" autoPict="0">
                <anchor moveWithCells="1">
                  <from>
                    <xdr:col>15</xdr:col>
                    <xdr:colOff>91440</xdr:colOff>
                    <xdr:row>51</xdr:row>
                    <xdr:rowOff>45720</xdr:rowOff>
                  </from>
                  <to>
                    <xdr:col>15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7" r:id="rId208" name="Group Box 205">
              <controlPr defaultSize="0" print="0" autoFill="0" autoPict="0">
                <anchor moveWithCells="1">
                  <from>
                    <xdr:col>6</xdr:col>
                    <xdr:colOff>76200</xdr:colOff>
                    <xdr:row>52</xdr:row>
                    <xdr:rowOff>7620</xdr:rowOff>
                  </from>
                  <to>
                    <xdr:col>16</xdr:col>
                    <xdr:colOff>129540</xdr:colOff>
                    <xdr:row>52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8" r:id="rId209" name="Option Button 206">
              <controlPr defaultSize="0" autoFill="0" autoLine="0" autoPict="0">
                <anchor moveWithCells="1">
                  <from>
                    <xdr:col>7</xdr:col>
                    <xdr:colOff>91440</xdr:colOff>
                    <xdr:row>52</xdr:row>
                    <xdr:rowOff>45720</xdr:rowOff>
                  </from>
                  <to>
                    <xdr:col>7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9" r:id="rId210" name="Option Button 207">
              <controlPr defaultSize="0" autoFill="0" autoLine="0" autoPict="0">
                <anchor moveWithCells="1">
                  <from>
                    <xdr:col>9</xdr:col>
                    <xdr:colOff>91440</xdr:colOff>
                    <xdr:row>52</xdr:row>
                    <xdr:rowOff>45720</xdr:rowOff>
                  </from>
                  <to>
                    <xdr:col>9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0" r:id="rId211" name="Option Button 208">
              <controlPr defaultSize="0" autoFill="0" autoLine="0" autoPict="0">
                <anchor moveWithCells="1">
                  <from>
                    <xdr:col>11</xdr:col>
                    <xdr:colOff>91440</xdr:colOff>
                    <xdr:row>52</xdr:row>
                    <xdr:rowOff>45720</xdr:rowOff>
                  </from>
                  <to>
                    <xdr:col>11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1" r:id="rId212" name="Option Button 209">
              <controlPr defaultSize="0" autoFill="0" autoLine="0" autoPict="0">
                <anchor moveWithCells="1">
                  <from>
                    <xdr:col>13</xdr:col>
                    <xdr:colOff>91440</xdr:colOff>
                    <xdr:row>52</xdr:row>
                    <xdr:rowOff>45720</xdr:rowOff>
                  </from>
                  <to>
                    <xdr:col>13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2" r:id="rId213" name="Option Button 210">
              <controlPr defaultSize="0" autoFill="0" autoLine="0" autoPict="0">
                <anchor moveWithCells="1">
                  <from>
                    <xdr:col>15</xdr:col>
                    <xdr:colOff>91440</xdr:colOff>
                    <xdr:row>52</xdr:row>
                    <xdr:rowOff>45720</xdr:rowOff>
                  </from>
                  <to>
                    <xdr:col>15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3" r:id="rId214" name="Group Box 211">
              <controlPr defaultSize="0" print="0" autoFill="0" autoPict="0">
                <anchor moveWithCells="1">
                  <from>
                    <xdr:col>6</xdr:col>
                    <xdr:colOff>76200</xdr:colOff>
                    <xdr:row>53</xdr:row>
                    <xdr:rowOff>0</xdr:rowOff>
                  </from>
                  <to>
                    <xdr:col>16</xdr:col>
                    <xdr:colOff>129540</xdr:colOff>
                    <xdr:row>53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4" r:id="rId215" name="Option Button 212">
              <controlPr defaultSize="0" autoFill="0" autoLine="0" autoPict="0">
                <anchor moveWithCells="1">
                  <from>
                    <xdr:col>7</xdr:col>
                    <xdr:colOff>91440</xdr:colOff>
                    <xdr:row>53</xdr:row>
                    <xdr:rowOff>30480</xdr:rowOff>
                  </from>
                  <to>
                    <xdr:col>7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5" r:id="rId216" name="Option Button 213">
              <controlPr defaultSize="0" autoFill="0" autoLine="0" autoPict="0">
                <anchor moveWithCells="1">
                  <from>
                    <xdr:col>9</xdr:col>
                    <xdr:colOff>91440</xdr:colOff>
                    <xdr:row>53</xdr:row>
                    <xdr:rowOff>30480</xdr:rowOff>
                  </from>
                  <to>
                    <xdr:col>9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6" r:id="rId217" name="Option Button 214">
              <controlPr defaultSize="0" autoFill="0" autoLine="0" autoPict="0">
                <anchor moveWithCells="1">
                  <from>
                    <xdr:col>11</xdr:col>
                    <xdr:colOff>91440</xdr:colOff>
                    <xdr:row>53</xdr:row>
                    <xdr:rowOff>30480</xdr:rowOff>
                  </from>
                  <to>
                    <xdr:col>11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7" r:id="rId218" name="Option Button 215">
              <controlPr defaultSize="0" autoFill="0" autoLine="0" autoPict="0">
                <anchor moveWithCells="1">
                  <from>
                    <xdr:col>13</xdr:col>
                    <xdr:colOff>91440</xdr:colOff>
                    <xdr:row>53</xdr:row>
                    <xdr:rowOff>30480</xdr:rowOff>
                  </from>
                  <to>
                    <xdr:col>13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8" r:id="rId219" name="Option Button 216">
              <controlPr defaultSize="0" autoFill="0" autoLine="0" autoPict="0">
                <anchor moveWithCells="1">
                  <from>
                    <xdr:col>15</xdr:col>
                    <xdr:colOff>91440</xdr:colOff>
                    <xdr:row>53</xdr:row>
                    <xdr:rowOff>30480</xdr:rowOff>
                  </from>
                  <to>
                    <xdr:col>15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9" r:id="rId220" name="Group Box 217">
              <controlPr defaultSize="0" print="0" autoFill="0" autoPict="0">
                <anchor moveWithCells="1">
                  <from>
                    <xdr:col>6</xdr:col>
                    <xdr:colOff>76200</xdr:colOff>
                    <xdr:row>55</xdr:row>
                    <xdr:rowOff>30480</xdr:rowOff>
                  </from>
                  <to>
                    <xdr:col>16</xdr:col>
                    <xdr:colOff>129540</xdr:colOff>
                    <xdr:row>55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0" r:id="rId221" name="Option Button 218">
              <controlPr defaultSize="0" autoFill="0" autoLine="0" autoPict="0">
                <anchor moveWithCells="1">
                  <from>
                    <xdr:col>7</xdr:col>
                    <xdr:colOff>91440</xdr:colOff>
                    <xdr:row>55</xdr:row>
                    <xdr:rowOff>60960</xdr:rowOff>
                  </from>
                  <to>
                    <xdr:col>7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1" r:id="rId222" name="Option Button 219">
              <controlPr defaultSize="0" autoFill="0" autoLine="0" autoPict="0">
                <anchor moveWithCells="1">
                  <from>
                    <xdr:col>9</xdr:col>
                    <xdr:colOff>91440</xdr:colOff>
                    <xdr:row>55</xdr:row>
                    <xdr:rowOff>60960</xdr:rowOff>
                  </from>
                  <to>
                    <xdr:col>9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2" r:id="rId223" name="Option Button 220">
              <controlPr defaultSize="0" autoFill="0" autoLine="0" autoPict="0">
                <anchor moveWithCells="1">
                  <from>
                    <xdr:col>11</xdr:col>
                    <xdr:colOff>91440</xdr:colOff>
                    <xdr:row>55</xdr:row>
                    <xdr:rowOff>60960</xdr:rowOff>
                  </from>
                  <to>
                    <xdr:col>11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3" r:id="rId224" name="Option Button 221">
              <controlPr defaultSize="0" autoFill="0" autoLine="0" autoPict="0">
                <anchor moveWithCells="1">
                  <from>
                    <xdr:col>13</xdr:col>
                    <xdr:colOff>91440</xdr:colOff>
                    <xdr:row>55</xdr:row>
                    <xdr:rowOff>60960</xdr:rowOff>
                  </from>
                  <to>
                    <xdr:col>13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4" r:id="rId225" name="Option Button 222">
              <controlPr defaultSize="0" autoFill="0" autoLine="0" autoPict="0">
                <anchor moveWithCells="1">
                  <from>
                    <xdr:col>15</xdr:col>
                    <xdr:colOff>91440</xdr:colOff>
                    <xdr:row>55</xdr:row>
                    <xdr:rowOff>60960</xdr:rowOff>
                  </from>
                  <to>
                    <xdr:col>15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5" r:id="rId226" name="Group Box 223">
              <controlPr defaultSize="0" print="0" autoFill="0" autoPict="0">
                <anchor moveWithCells="1">
                  <from>
                    <xdr:col>6</xdr:col>
                    <xdr:colOff>76200</xdr:colOff>
                    <xdr:row>56</xdr:row>
                    <xdr:rowOff>30480</xdr:rowOff>
                  </from>
                  <to>
                    <xdr:col>16</xdr:col>
                    <xdr:colOff>129540</xdr:colOff>
                    <xdr:row>56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6" r:id="rId227" name="Option Button 224">
              <controlPr defaultSize="0" autoFill="0" autoLine="0" autoPict="0">
                <anchor moveWithCells="1">
                  <from>
                    <xdr:col>7</xdr:col>
                    <xdr:colOff>91440</xdr:colOff>
                    <xdr:row>56</xdr:row>
                    <xdr:rowOff>60960</xdr:rowOff>
                  </from>
                  <to>
                    <xdr:col>7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7" r:id="rId228" name="Option Button 225">
              <controlPr defaultSize="0" autoFill="0" autoLine="0" autoPict="0">
                <anchor moveWithCells="1">
                  <from>
                    <xdr:col>9</xdr:col>
                    <xdr:colOff>91440</xdr:colOff>
                    <xdr:row>56</xdr:row>
                    <xdr:rowOff>60960</xdr:rowOff>
                  </from>
                  <to>
                    <xdr:col>9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8" r:id="rId229" name="Option Button 226">
              <controlPr defaultSize="0" autoFill="0" autoLine="0" autoPict="0">
                <anchor moveWithCells="1">
                  <from>
                    <xdr:col>11</xdr:col>
                    <xdr:colOff>91440</xdr:colOff>
                    <xdr:row>56</xdr:row>
                    <xdr:rowOff>60960</xdr:rowOff>
                  </from>
                  <to>
                    <xdr:col>11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9" r:id="rId230" name="Option Button 227">
              <controlPr defaultSize="0" autoFill="0" autoLine="0" autoPict="0">
                <anchor moveWithCells="1">
                  <from>
                    <xdr:col>13</xdr:col>
                    <xdr:colOff>91440</xdr:colOff>
                    <xdr:row>56</xdr:row>
                    <xdr:rowOff>60960</xdr:rowOff>
                  </from>
                  <to>
                    <xdr:col>13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0" r:id="rId231" name="Option Button 228">
              <controlPr defaultSize="0" autoFill="0" autoLine="0" autoPict="0">
                <anchor moveWithCells="1">
                  <from>
                    <xdr:col>15</xdr:col>
                    <xdr:colOff>91440</xdr:colOff>
                    <xdr:row>56</xdr:row>
                    <xdr:rowOff>60960</xdr:rowOff>
                  </from>
                  <to>
                    <xdr:col>15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1" r:id="rId232" name="Group Box 229">
              <controlPr defaultSize="0" print="0" autoFill="0" autoPict="0">
                <anchor moveWithCells="1">
                  <from>
                    <xdr:col>6</xdr:col>
                    <xdr:colOff>76200</xdr:colOff>
                    <xdr:row>38</xdr:row>
                    <xdr:rowOff>30480</xdr:rowOff>
                  </from>
                  <to>
                    <xdr:col>16</xdr:col>
                    <xdr:colOff>129540</xdr:colOff>
                    <xdr:row>38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2" r:id="rId233" name="Option Button 230">
              <controlPr defaultSize="0" autoFill="0" autoLine="0" autoPict="0">
                <anchor moveWithCells="1">
                  <from>
                    <xdr:col>7</xdr:col>
                    <xdr:colOff>91440</xdr:colOff>
                    <xdr:row>38</xdr:row>
                    <xdr:rowOff>60960</xdr:rowOff>
                  </from>
                  <to>
                    <xdr:col>7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3" r:id="rId234" name="Option Button 231">
              <controlPr defaultSize="0" autoFill="0" autoLine="0" autoPict="0">
                <anchor moveWithCells="1">
                  <from>
                    <xdr:col>9</xdr:col>
                    <xdr:colOff>91440</xdr:colOff>
                    <xdr:row>38</xdr:row>
                    <xdr:rowOff>60960</xdr:rowOff>
                  </from>
                  <to>
                    <xdr:col>9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4" r:id="rId235" name="Option Button 232">
              <controlPr defaultSize="0" autoFill="0" autoLine="0" autoPict="0">
                <anchor moveWithCells="1">
                  <from>
                    <xdr:col>11</xdr:col>
                    <xdr:colOff>91440</xdr:colOff>
                    <xdr:row>38</xdr:row>
                    <xdr:rowOff>60960</xdr:rowOff>
                  </from>
                  <to>
                    <xdr:col>11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5" r:id="rId236" name="Option Button 233">
              <controlPr defaultSize="0" autoFill="0" autoLine="0" autoPict="0">
                <anchor moveWithCells="1">
                  <from>
                    <xdr:col>13</xdr:col>
                    <xdr:colOff>91440</xdr:colOff>
                    <xdr:row>38</xdr:row>
                    <xdr:rowOff>60960</xdr:rowOff>
                  </from>
                  <to>
                    <xdr:col>13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6" r:id="rId237" name="Option Button 234">
              <controlPr defaultSize="0" autoFill="0" autoLine="0" autoPict="0">
                <anchor moveWithCells="1">
                  <from>
                    <xdr:col>15</xdr:col>
                    <xdr:colOff>91440</xdr:colOff>
                    <xdr:row>38</xdr:row>
                    <xdr:rowOff>60960</xdr:rowOff>
                  </from>
                  <to>
                    <xdr:col>15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7" r:id="rId238" name="Drop Down 235">
              <controlPr defaultSize="0" print="0" autoLine="0" autoPict="0">
                <anchor moveWithCells="1">
                  <from>
                    <xdr:col>20</xdr:col>
                    <xdr:colOff>1737360</xdr:colOff>
                    <xdr:row>1</xdr:row>
                    <xdr:rowOff>60960</xdr:rowOff>
                  </from>
                  <to>
                    <xdr:col>21</xdr:col>
                    <xdr:colOff>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8" r:id="rId239" name="Group Box 236">
              <controlPr defaultSize="0" print="0" autoFill="0" autoPict="0">
                <anchor moveWithCells="1">
                  <from>
                    <xdr:col>22</xdr:col>
                    <xdr:colOff>327660</xdr:colOff>
                    <xdr:row>10</xdr:row>
                    <xdr:rowOff>228600</xdr:rowOff>
                  </from>
                  <to>
                    <xdr:col>27</xdr:col>
                    <xdr:colOff>632460</xdr:colOff>
                    <xdr:row>11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" id="{F429A472-6266-4D0F-B6F1-0A1C912DE361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W59:X61</xm:sqref>
        </x14:conditionalFormatting>
        <x14:conditionalFormatting xmlns:xm="http://schemas.microsoft.com/office/excel/2006/main">
          <x14:cfRule type="iconSet" priority="11" id="{D01733C7-30F3-4212-B1DD-79297701A20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Z4</xm:sqref>
        </x14:conditionalFormatting>
        <x14:conditionalFormatting xmlns:xm="http://schemas.microsoft.com/office/excel/2006/main">
          <x14:cfRule type="iconSet" priority="10" id="{A7A3BB5E-EA1C-49A5-B901-EE08186C697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Z5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Tabelle41">
    <tabColor theme="0" tint="-0.34998626667073579"/>
  </sheetPr>
  <dimension ref="A1:AB200"/>
  <sheetViews>
    <sheetView showGridLines="0" zoomScaleNormal="100" workbookViewId="0">
      <pane ySplit="7" topLeftCell="A8" activePane="bottomLeft" state="frozen"/>
      <selection activeCell="N13" sqref="N13"/>
      <selection pane="bottomLeft" activeCell="A8" sqref="A8"/>
    </sheetView>
  </sheetViews>
  <sheetFormatPr baseColWidth="10" defaultColWidth="12.5546875" defaultRowHeight="14.4" x14ac:dyDescent="0.3"/>
  <cols>
    <col min="1" max="1" width="7" style="488" customWidth="1"/>
    <col min="2" max="2" width="3.33203125" style="488" customWidth="1"/>
    <col min="3" max="3" width="0.5546875" style="110" customWidth="1"/>
    <col min="4" max="4" width="15.33203125" style="488" customWidth="1"/>
    <col min="5" max="5" width="36.6640625" style="488" customWidth="1"/>
    <col min="6" max="6" width="0.5546875" style="110" customWidth="1"/>
    <col min="7" max="7" width="1.6640625" style="488" customWidth="1"/>
    <col min="8" max="8" width="5" style="488" customWidth="1"/>
    <col min="9" max="9" width="1.6640625" style="488" customWidth="1"/>
    <col min="10" max="10" width="5" style="488" customWidth="1"/>
    <col min="11" max="11" width="1.6640625" style="488" customWidth="1"/>
    <col min="12" max="12" width="5" style="488" customWidth="1"/>
    <col min="13" max="13" width="1.6640625" style="488" customWidth="1"/>
    <col min="14" max="14" width="5" style="488" customWidth="1"/>
    <col min="15" max="15" width="1.6640625" style="488" customWidth="1"/>
    <col min="16" max="16" width="5" style="488" customWidth="1"/>
    <col min="17" max="17" width="1.6640625" style="488" customWidth="1"/>
    <col min="18" max="18" width="0.109375" style="488" customWidth="1"/>
    <col min="19" max="19" width="5.44140625" style="110" customWidth="1"/>
    <col min="20" max="20" width="0.5546875" style="110" customWidth="1"/>
    <col min="21" max="21" width="39" style="110" customWidth="1"/>
    <col min="22" max="22" width="4.5546875" style="172" customWidth="1"/>
    <col min="23" max="23" width="6.44140625" style="539" customWidth="1"/>
    <col min="24" max="24" width="5.88671875" style="539" customWidth="1"/>
    <col min="25" max="25" width="5" style="172" customWidth="1"/>
    <col min="26" max="26" width="11" style="110" customWidth="1"/>
    <col min="27" max="27" width="12.5546875" style="519"/>
    <col min="28" max="16384" width="12.5546875" style="488"/>
  </cols>
  <sheetData>
    <row r="1" spans="1:28" s="109" customFormat="1" ht="45" customHeight="1" x14ac:dyDescent="0.3">
      <c r="B1" s="103" t="str">
        <f ca="1">' '!A200</f>
        <v>C A N V A S : C H A N C E N   &amp;   G E F A H R E N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501"/>
      <c r="S1" s="166"/>
      <c r="T1" s="166"/>
      <c r="U1" s="122"/>
      <c r="V1" s="502"/>
      <c r="W1" s="503"/>
      <c r="X1" s="503"/>
      <c r="Y1" s="504"/>
      <c r="AA1" s="505"/>
    </row>
    <row r="2" spans="1:28" s="109" customFormat="1" ht="22.5" customHeight="1" x14ac:dyDescent="0.3">
      <c r="B2" s="251"/>
      <c r="C2" s="506"/>
      <c r="D2" s="501"/>
      <c r="E2" s="501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7"/>
      <c r="V2" s="508"/>
      <c r="W2" s="503"/>
      <c r="X2" s="503"/>
      <c r="Y2" s="504"/>
      <c r="AA2" s="505"/>
    </row>
    <row r="3" spans="1:28" ht="17.25" customHeight="1" x14ac:dyDescent="0.3">
      <c r="B3" s="509"/>
      <c r="C3" s="510"/>
      <c r="D3" s="511"/>
      <c r="E3" s="512">
        <f>(N10+N18+N27+N31+N40+N48+N56+N63+N69)</f>
        <v>183</v>
      </c>
      <c r="G3" s="1036"/>
      <c r="H3" s="1037" t="str">
        <f ca="1">' '!A143</f>
        <v>trifft überhaupt nicht zu</v>
      </c>
      <c r="I3" s="513"/>
      <c r="J3" s="1037" t="str">
        <f ca="1">' '!A142</f>
        <v>trifft eher nicht zu</v>
      </c>
      <c r="K3" s="513"/>
      <c r="L3" s="1037" t="str">
        <f ca="1">' '!A141</f>
        <v>trifft teilweise zu</v>
      </c>
      <c r="M3" s="513"/>
      <c r="N3" s="1037" t="str">
        <f ca="1">' '!A140</f>
        <v>trifft eher zu</v>
      </c>
      <c r="O3" s="513"/>
      <c r="P3" s="1037" t="str">
        <f ca="1">' '!A139</f>
        <v>trifft voll zu</v>
      </c>
      <c r="Q3" s="513"/>
      <c r="R3" s="513"/>
      <c r="S3" s="1044" t="str">
        <f ca="1">' '!A191</f>
        <v>Auswirkung 
(1 - 10)</v>
      </c>
      <c r="T3" s="514"/>
      <c r="U3" s="515"/>
      <c r="V3" s="516"/>
      <c r="W3" s="517"/>
      <c r="X3" s="517"/>
      <c r="Y3" s="1039"/>
      <c r="Z3" s="518"/>
    </row>
    <row r="4" spans="1:28" ht="17.25" customHeight="1" x14ac:dyDescent="0.3">
      <c r="B4" s="509"/>
      <c r="C4" s="510"/>
      <c r="D4" s="520"/>
      <c r="E4" s="512">
        <f>(P10+P18+P27+P31+P40+P48+P56+P63+P69)</f>
        <v>295</v>
      </c>
      <c r="G4" s="1036"/>
      <c r="H4" s="1037"/>
      <c r="I4" s="513"/>
      <c r="J4" s="1037"/>
      <c r="K4" s="513"/>
      <c r="L4" s="1037"/>
      <c r="M4" s="513"/>
      <c r="N4" s="1037"/>
      <c r="O4" s="513"/>
      <c r="P4" s="1037"/>
      <c r="Q4" s="513"/>
      <c r="R4" s="513"/>
      <c r="S4" s="1044"/>
      <c r="T4" s="514"/>
      <c r="U4" s="515"/>
      <c r="V4" s="521"/>
      <c r="W4" s="517"/>
      <c r="X4" s="517"/>
      <c r="Y4" s="1039"/>
      <c r="Z4" s="522"/>
    </row>
    <row r="5" spans="1:28" ht="17.25" customHeight="1" x14ac:dyDescent="0.3">
      <c r="B5" s="509"/>
      <c r="C5" s="510"/>
      <c r="D5" s="520"/>
      <c r="E5" s="523"/>
      <c r="G5" s="1036"/>
      <c r="H5" s="1037"/>
      <c r="I5" s="513"/>
      <c r="J5" s="1037"/>
      <c r="K5" s="513"/>
      <c r="L5" s="1037"/>
      <c r="M5" s="513"/>
      <c r="N5" s="1037"/>
      <c r="O5" s="513"/>
      <c r="P5" s="1037"/>
      <c r="Q5" s="513"/>
      <c r="R5" s="513"/>
      <c r="S5" s="1044"/>
      <c r="T5" s="514"/>
      <c r="U5" s="515"/>
      <c r="V5" s="521"/>
      <c r="W5" s="517"/>
      <c r="X5" s="517"/>
      <c r="Y5" s="1039"/>
      <c r="Z5" s="524"/>
    </row>
    <row r="6" spans="1:28" ht="24.75" customHeight="1" x14ac:dyDescent="0.3">
      <c r="B6" s="509"/>
      <c r="C6" s="525"/>
      <c r="D6" s="526"/>
      <c r="E6" s="527"/>
      <c r="G6" s="1036"/>
      <c r="H6" s="1037"/>
      <c r="I6" s="513"/>
      <c r="J6" s="1037"/>
      <c r="K6" s="513"/>
      <c r="L6" s="1037"/>
      <c r="M6" s="513"/>
      <c r="N6" s="1037"/>
      <c r="O6" s="513"/>
      <c r="P6" s="1037"/>
      <c r="Q6" s="513"/>
      <c r="R6" s="513"/>
      <c r="S6" s="1044"/>
      <c r="T6" s="514"/>
      <c r="U6" s="528" t="str">
        <f ca="1">CONCATENATE(' '!A195,"  ",E3," / ",E4)</f>
        <v>Total Punkte :  183 / 295</v>
      </c>
      <c r="V6" s="529"/>
      <c r="W6" s="530"/>
      <c r="X6" s="530"/>
      <c r="Y6" s="530"/>
      <c r="Z6" s="531"/>
    </row>
    <row r="7" spans="1:28" s="110" customFormat="1" ht="13.5" customHeight="1" x14ac:dyDescent="0.4">
      <c r="D7" s="532"/>
      <c r="E7" s="532"/>
      <c r="G7" s="531"/>
      <c r="H7" s="533">
        <f>(COUNTIF(B134:B200,1)/59)</f>
        <v>8.4745762711864403E-2</v>
      </c>
      <c r="I7" s="534"/>
      <c r="J7" s="533">
        <f>(COUNTIF(B134:B200,2)/59)</f>
        <v>0.28813559322033899</v>
      </c>
      <c r="K7" s="534"/>
      <c r="L7" s="533">
        <f>(COUNTIF(B134:B200,3)/59)</f>
        <v>0.25423728813559321</v>
      </c>
      <c r="M7" s="534"/>
      <c r="N7" s="533">
        <f>(COUNTIF(B134:B200,4)/59)</f>
        <v>0.1864406779661017</v>
      </c>
      <c r="O7" s="534"/>
      <c r="P7" s="533">
        <f>(COUNTIF(B134:B200,5)/59)</f>
        <v>0.1864406779661017</v>
      </c>
      <c r="Q7" s="531"/>
      <c r="R7" s="488"/>
      <c r="AA7" s="116"/>
    </row>
    <row r="8" spans="1:28" ht="0.9" customHeight="1" x14ac:dyDescent="0.4">
      <c r="A8" s="535"/>
      <c r="D8" s="536"/>
      <c r="E8" s="536"/>
      <c r="G8" s="537"/>
      <c r="H8" s="537"/>
      <c r="I8" s="538"/>
      <c r="J8" s="537"/>
      <c r="K8" s="538"/>
      <c r="L8" s="537"/>
      <c r="M8" s="538"/>
      <c r="N8" s="537"/>
      <c r="O8" s="538"/>
      <c r="P8" s="537"/>
    </row>
    <row r="9" spans="1:28" ht="5.25" customHeight="1" x14ac:dyDescent="0.4">
      <c r="A9" s="535"/>
      <c r="D9" s="536"/>
      <c r="E9" s="536"/>
      <c r="G9" s="537"/>
      <c r="H9" s="537"/>
      <c r="I9" s="538"/>
      <c r="J9" s="537"/>
      <c r="K9" s="538"/>
      <c r="L9" s="537"/>
      <c r="M9" s="538"/>
      <c r="N9" s="537"/>
      <c r="O9" s="538"/>
      <c r="P9" s="537"/>
    </row>
    <row r="10" spans="1:28" ht="15.75" customHeight="1" x14ac:dyDescent="0.3">
      <c r="B10" s="540">
        <v>1</v>
      </c>
      <c r="C10" s="541"/>
      <c r="D10" s="1040" t="s">
        <v>418</v>
      </c>
      <c r="E10" s="1040"/>
      <c r="G10" s="542">
        <f>SUM(B134:B137)</f>
        <v>13</v>
      </c>
      <c r="H10" s="1040"/>
      <c r="I10" s="1040"/>
      <c r="J10" s="543"/>
      <c r="K10" s="543"/>
      <c r="L10" s="1041"/>
      <c r="M10" s="1041"/>
      <c r="N10" s="544">
        <f>SUM(B134:B140)</f>
        <v>23</v>
      </c>
      <c r="O10" s="545" t="s">
        <v>419</v>
      </c>
      <c r="P10" s="544">
        <v>35</v>
      </c>
      <c r="Q10" s="546"/>
      <c r="R10" s="547"/>
      <c r="S10" s="548"/>
      <c r="T10" s="549"/>
      <c r="U10" s="550"/>
      <c r="V10" s="488"/>
      <c r="W10" s="488"/>
      <c r="X10" s="488"/>
      <c r="Y10" s="488"/>
      <c r="Z10" s="488"/>
      <c r="AA10" s="551"/>
    </row>
    <row r="11" spans="1:28" ht="31.5" customHeight="1" x14ac:dyDescent="0.3">
      <c r="B11" s="552">
        <v>1.1000000000000001</v>
      </c>
      <c r="C11" s="116"/>
      <c r="D11" s="1035" t="str">
        <f ca="1">' '!A201</f>
        <v>Wir können wiederkehrende Einnahmen generieren, indem wir von Produkte Dienstleistungen ableiten</v>
      </c>
      <c r="E11" s="1035"/>
      <c r="G11" s="553"/>
      <c r="H11" s="553"/>
      <c r="I11" s="553"/>
      <c r="J11" s="553"/>
      <c r="K11" s="553"/>
      <c r="L11" s="553"/>
      <c r="M11" s="553"/>
      <c r="N11" s="553"/>
      <c r="O11" s="553"/>
      <c r="P11" s="553"/>
      <c r="Q11" s="553"/>
      <c r="R11" s="547"/>
      <c r="S11" s="554">
        <v>9</v>
      </c>
      <c r="T11" s="555"/>
      <c r="U11" s="556"/>
      <c r="V11" s="488"/>
      <c r="W11" s="488"/>
      <c r="X11" s="488"/>
      <c r="Y11" s="488"/>
      <c r="Z11" s="488"/>
      <c r="AB11" s="557"/>
    </row>
    <row r="12" spans="1:28" ht="32.25" customHeight="1" x14ac:dyDescent="0.3">
      <c r="B12" s="552">
        <v>1.2</v>
      </c>
      <c r="C12" s="541"/>
      <c r="D12" s="1035" t="str">
        <f ca="1">' '!A202</f>
        <v xml:space="preserve">Wir integrieren unsere Produkte und Dienstleistungen </v>
      </c>
      <c r="E12" s="1035"/>
      <c r="G12" s="553"/>
      <c r="H12" s="553"/>
      <c r="I12" s="553"/>
      <c r="J12" s="553"/>
      <c r="K12" s="553"/>
      <c r="L12" s="553"/>
      <c r="M12" s="553"/>
      <c r="N12" s="553"/>
      <c r="O12" s="553"/>
      <c r="P12" s="553"/>
      <c r="Q12" s="553"/>
      <c r="R12" s="547"/>
      <c r="S12" s="554">
        <v>8</v>
      </c>
      <c r="T12" s="555"/>
      <c r="U12" s="556"/>
      <c r="V12" s="488"/>
      <c r="W12" s="488"/>
      <c r="X12" s="488"/>
      <c r="Y12" s="488"/>
      <c r="Z12" s="488"/>
      <c r="AA12" s="551"/>
    </row>
    <row r="13" spans="1:28" ht="32.25" customHeight="1" x14ac:dyDescent="0.3">
      <c r="B13" s="552">
        <v>1.3</v>
      </c>
      <c r="C13" s="558"/>
      <c r="D13" s="1035" t="str">
        <f ca="1">' '!A203</f>
        <v>Wir befriedigen zusätzliche Kundenbedürfnisse</v>
      </c>
      <c r="E13" s="1035"/>
      <c r="G13" s="553"/>
      <c r="H13" s="553"/>
      <c r="I13" s="553"/>
      <c r="J13" s="553"/>
      <c r="K13" s="553"/>
      <c r="L13" s="553"/>
      <c r="M13" s="553"/>
      <c r="N13" s="553"/>
      <c r="O13" s="553"/>
      <c r="P13" s="553"/>
      <c r="Q13" s="553"/>
      <c r="R13" s="547"/>
      <c r="S13" s="554">
        <v>7</v>
      </c>
      <c r="T13" s="555"/>
      <c r="U13" s="556"/>
      <c r="V13" s="488"/>
      <c r="W13" s="488"/>
      <c r="X13" s="488"/>
      <c r="Y13" s="488"/>
      <c r="Z13" s="488"/>
    </row>
    <row r="14" spans="1:28" ht="31.5" customHeight="1" x14ac:dyDescent="0.3">
      <c r="B14" s="552">
        <v>1.4</v>
      </c>
      <c r="C14" s="541"/>
      <c r="D14" s="1035" t="str">
        <f ca="1">' '!A204</f>
        <v>Es gibt Ergänzungen oder mögliche Erweiterungen für unsere Wertangebote (Value Propositions)</v>
      </c>
      <c r="E14" s="1035"/>
      <c r="G14" s="553"/>
      <c r="H14" s="553"/>
      <c r="I14" s="553"/>
      <c r="J14" s="553"/>
      <c r="K14" s="553"/>
      <c r="L14" s="553"/>
      <c r="M14" s="553"/>
      <c r="N14" s="553"/>
      <c r="O14" s="553"/>
      <c r="P14" s="553"/>
      <c r="Q14" s="553"/>
      <c r="R14" s="547"/>
      <c r="S14" s="554">
        <v>6</v>
      </c>
      <c r="T14" s="555"/>
      <c r="U14" s="556"/>
      <c r="V14" s="488"/>
      <c r="W14" s="488"/>
      <c r="X14" s="488"/>
      <c r="Y14" s="488"/>
      <c r="Z14" s="488"/>
    </row>
    <row r="15" spans="1:28" ht="31.5" customHeight="1" x14ac:dyDescent="0.3">
      <c r="B15" s="552">
        <v>1.5</v>
      </c>
      <c r="C15" s="541"/>
      <c r="D15" s="1035" t="str">
        <f ca="1">' '!A205</f>
        <v>Wir können unserer Kunden zusätzliche Dienstleistungen anbieten</v>
      </c>
      <c r="E15" s="1035"/>
      <c r="G15" s="553"/>
      <c r="H15" s="553"/>
      <c r="I15" s="553"/>
      <c r="J15" s="553"/>
      <c r="K15" s="553"/>
      <c r="L15" s="553"/>
      <c r="M15" s="553"/>
      <c r="N15" s="553"/>
      <c r="O15" s="553"/>
      <c r="P15" s="553"/>
      <c r="Q15" s="553"/>
      <c r="R15" s="547"/>
      <c r="S15" s="554">
        <v>4</v>
      </c>
      <c r="T15" s="555"/>
      <c r="U15" s="556"/>
      <c r="V15" s="488"/>
      <c r="W15" s="488"/>
      <c r="X15" s="488"/>
      <c r="Y15" s="488"/>
      <c r="Z15" s="488"/>
    </row>
    <row r="16" spans="1:28" ht="31.5" customHeight="1" x14ac:dyDescent="0.3">
      <c r="B16" s="552">
        <v>1.6</v>
      </c>
      <c r="C16" s="541"/>
      <c r="D16" s="1035" t="str">
        <f ca="1">' '!A206</f>
        <v>Es gibt Ersatzprodukte und -dienstleistungen</v>
      </c>
      <c r="E16" s="1035"/>
      <c r="G16" s="553"/>
      <c r="H16" s="553"/>
      <c r="I16" s="553"/>
      <c r="J16" s="553"/>
      <c r="K16" s="553"/>
      <c r="L16" s="553"/>
      <c r="M16" s="553"/>
      <c r="N16" s="553"/>
      <c r="O16" s="553"/>
      <c r="P16" s="553"/>
      <c r="Q16" s="553"/>
      <c r="R16" s="547"/>
      <c r="S16" s="554">
        <v>3</v>
      </c>
      <c r="T16" s="555"/>
      <c r="U16" s="556"/>
      <c r="V16" s="488"/>
      <c r="W16" s="488"/>
      <c r="X16" s="488"/>
      <c r="Y16" s="488"/>
      <c r="Z16" s="488"/>
    </row>
    <row r="17" spans="2:26" ht="31.5" customHeight="1" x14ac:dyDescent="0.3">
      <c r="B17" s="552">
        <v>1.7</v>
      </c>
      <c r="C17" s="541"/>
      <c r="D17" s="1035" t="str">
        <f ca="1">' '!A207</f>
        <v>Wettbewerber können den Kunden tiefere Preise und Mehrwert anbieten</v>
      </c>
      <c r="E17" s="1035"/>
      <c r="G17" s="553"/>
      <c r="H17" s="553"/>
      <c r="I17" s="553"/>
      <c r="J17" s="553"/>
      <c r="K17" s="553"/>
      <c r="L17" s="553"/>
      <c r="M17" s="553"/>
      <c r="N17" s="553"/>
      <c r="O17" s="553"/>
      <c r="P17" s="553"/>
      <c r="Q17" s="553"/>
      <c r="R17" s="547"/>
      <c r="S17" s="554">
        <v>3</v>
      </c>
      <c r="T17" s="555"/>
      <c r="U17" s="556"/>
      <c r="V17" s="488"/>
      <c r="W17" s="488"/>
      <c r="X17" s="488"/>
      <c r="Y17" s="488"/>
      <c r="Z17" s="488"/>
    </row>
    <row r="18" spans="2:26" ht="15.75" customHeight="1" x14ac:dyDescent="0.3">
      <c r="B18" s="540">
        <v>2</v>
      </c>
      <c r="C18" s="541"/>
      <c r="D18" s="1040" t="s">
        <v>420</v>
      </c>
      <c r="E18" s="1040"/>
      <c r="G18" s="543"/>
      <c r="H18" s="543"/>
      <c r="I18" s="543"/>
      <c r="J18" s="543"/>
      <c r="K18" s="543"/>
      <c r="L18" s="543"/>
      <c r="M18" s="543"/>
      <c r="N18" s="544">
        <f>SUM(B142:B149)</f>
        <v>22</v>
      </c>
      <c r="O18" s="545" t="s">
        <v>419</v>
      </c>
      <c r="P18" s="544">
        <v>40</v>
      </c>
      <c r="Q18" s="546"/>
      <c r="R18" s="547"/>
      <c r="S18" s="548"/>
      <c r="T18" s="559"/>
      <c r="U18" s="550"/>
      <c r="V18" s="488"/>
      <c r="W18" s="488"/>
      <c r="X18" s="488"/>
      <c r="Y18" s="488"/>
      <c r="Z18" s="488"/>
    </row>
    <row r="19" spans="2:26" ht="31.5" customHeight="1" x14ac:dyDescent="0.3">
      <c r="B19" s="560">
        <v>2.1</v>
      </c>
      <c r="C19" s="558"/>
      <c r="D19" s="1042" t="str">
        <f ca="1">' '!A209</f>
        <v>Wir können einmalige Umsätze  durch wiederkehrenden Einkommen ersetzen</v>
      </c>
      <c r="E19" s="1042"/>
      <c r="G19" s="561"/>
      <c r="H19" s="561"/>
      <c r="I19" s="561"/>
      <c r="J19" s="561"/>
      <c r="K19" s="561"/>
      <c r="L19" s="561"/>
      <c r="M19" s="561"/>
      <c r="N19" s="561"/>
      <c r="O19" s="561"/>
      <c r="P19" s="561"/>
      <c r="Q19" s="561"/>
      <c r="R19" s="547"/>
      <c r="S19" s="562">
        <v>10</v>
      </c>
      <c r="T19" s="555"/>
      <c r="U19" s="556"/>
      <c r="V19" s="488"/>
      <c r="W19" s="488"/>
      <c r="X19" s="488"/>
      <c r="Y19" s="488"/>
      <c r="Z19" s="488"/>
    </row>
    <row r="20" spans="2:26" ht="31.5" customHeight="1" x14ac:dyDescent="0.3">
      <c r="B20" s="560">
        <v>2.2000000000000002</v>
      </c>
      <c r="C20" s="558"/>
      <c r="D20" s="1042" t="str">
        <f ca="1">' '!A210</f>
        <v>Unsere Kunden sind bereit für zusätzliche Produkte oder Dienstleistungen zu bezahlen</v>
      </c>
      <c r="E20" s="1042"/>
      <c r="G20" s="561"/>
      <c r="H20" s="561"/>
      <c r="I20" s="561"/>
      <c r="J20" s="561"/>
      <c r="K20" s="561"/>
      <c r="L20" s="561"/>
      <c r="M20" s="561"/>
      <c r="N20" s="561"/>
      <c r="O20" s="561"/>
      <c r="P20" s="561"/>
      <c r="Q20" s="561"/>
      <c r="R20" s="547"/>
      <c r="S20" s="562">
        <v>9</v>
      </c>
      <c r="T20" s="555"/>
      <c r="U20" s="556"/>
      <c r="V20" s="488"/>
      <c r="W20" s="488"/>
      <c r="X20" s="488"/>
      <c r="Y20" s="488"/>
      <c r="Z20" s="488"/>
    </row>
    <row r="21" spans="2:26" ht="31.5" customHeight="1" x14ac:dyDescent="0.3">
      <c r="B21" s="560">
        <v>2.2999999999999998</v>
      </c>
      <c r="C21" s="116"/>
      <c r="D21" s="1042" t="str">
        <f ca="1">' '!A211</f>
        <v>Wir haben Cross-Selling-Möglichkeit intern oder mit Partner zu tätigen</v>
      </c>
      <c r="E21" s="1042"/>
      <c r="G21" s="561"/>
      <c r="H21" s="561"/>
      <c r="I21" s="561"/>
      <c r="J21" s="561"/>
      <c r="K21" s="561"/>
      <c r="L21" s="561"/>
      <c r="M21" s="561"/>
      <c r="N21" s="561"/>
      <c r="O21" s="561"/>
      <c r="P21" s="561"/>
      <c r="Q21" s="561"/>
      <c r="R21" s="547"/>
      <c r="S21" s="562">
        <v>8</v>
      </c>
      <c r="T21" s="555"/>
      <c r="U21" s="556"/>
      <c r="V21" s="488"/>
      <c r="W21" s="488"/>
      <c r="X21" s="488"/>
      <c r="Y21" s="488"/>
      <c r="Z21" s="488"/>
    </row>
    <row r="22" spans="2:26" ht="31.5" customHeight="1" x14ac:dyDescent="0.3">
      <c r="B22" s="560">
        <v>2.4</v>
      </c>
      <c r="C22" s="116"/>
      <c r="D22" s="1042" t="str">
        <f ca="1">' '!A212</f>
        <v>Wir können zusätzliche Einnahmequellen generieren oder neu entwickeln</v>
      </c>
      <c r="E22" s="1042"/>
      <c r="G22" s="561"/>
      <c r="H22" s="561"/>
      <c r="I22" s="561"/>
      <c r="J22" s="561"/>
      <c r="K22" s="561"/>
      <c r="L22" s="561"/>
      <c r="M22" s="561"/>
      <c r="N22" s="561"/>
      <c r="O22" s="561"/>
      <c r="P22" s="561"/>
      <c r="Q22" s="561"/>
      <c r="R22" s="547"/>
      <c r="S22" s="562">
        <v>7</v>
      </c>
      <c r="T22" s="555"/>
      <c r="U22" s="556"/>
      <c r="V22" s="488"/>
      <c r="W22" s="488"/>
      <c r="X22" s="488"/>
      <c r="Y22" s="488"/>
      <c r="Z22" s="488"/>
    </row>
    <row r="23" spans="2:26" ht="31.5" customHeight="1" x14ac:dyDescent="0.3">
      <c r="B23" s="560">
        <v>2.5</v>
      </c>
      <c r="C23" s="116"/>
      <c r="D23" s="1042" t="str">
        <f ca="1">' '!A213</f>
        <v>Wir können die Preise erhöhen</v>
      </c>
      <c r="E23" s="1042"/>
      <c r="G23" s="561"/>
      <c r="H23" s="561"/>
      <c r="I23" s="561"/>
      <c r="J23" s="561"/>
      <c r="K23" s="561"/>
      <c r="L23" s="561"/>
      <c r="M23" s="561"/>
      <c r="N23" s="561"/>
      <c r="O23" s="561"/>
      <c r="P23" s="561"/>
      <c r="Q23" s="561"/>
      <c r="R23" s="547"/>
      <c r="S23" s="562">
        <v>6</v>
      </c>
      <c r="T23" s="555"/>
      <c r="U23" s="556"/>
      <c r="V23" s="488"/>
      <c r="W23" s="488"/>
      <c r="X23" s="488"/>
      <c r="Y23" s="488"/>
      <c r="Z23" s="488"/>
    </row>
    <row r="24" spans="2:26" ht="31.5" customHeight="1" x14ac:dyDescent="0.3">
      <c r="B24" s="560">
        <v>2.6</v>
      </c>
      <c r="C24" s="116"/>
      <c r="D24" s="1042" t="str">
        <f ca="1">' '!A214</f>
        <v>Unsere Margen sind durch Konkurrenten und/oder neuen Technologien gefährdet</v>
      </c>
      <c r="E24" s="1042"/>
      <c r="G24" s="561"/>
      <c r="H24" s="561"/>
      <c r="I24" s="561"/>
      <c r="J24" s="561"/>
      <c r="K24" s="561"/>
      <c r="L24" s="561"/>
      <c r="M24" s="561"/>
      <c r="N24" s="561"/>
      <c r="O24" s="561"/>
      <c r="P24" s="561"/>
      <c r="Q24" s="561"/>
      <c r="R24" s="547"/>
      <c r="S24" s="562">
        <v>5</v>
      </c>
      <c r="T24" s="555"/>
      <c r="U24" s="556"/>
      <c r="V24" s="488"/>
      <c r="W24" s="488"/>
      <c r="X24" s="488"/>
      <c r="Y24" s="488"/>
      <c r="Z24" s="488"/>
    </row>
    <row r="25" spans="2:26" ht="31.5" customHeight="1" x14ac:dyDescent="0.3">
      <c r="B25" s="560">
        <v>2.7</v>
      </c>
      <c r="C25" s="116"/>
      <c r="D25" s="1042" t="str">
        <f ca="1">' '!A215</f>
        <v>Wir sind von einem oder mehreren Einkommensquellen abhängig</v>
      </c>
      <c r="E25" s="1042"/>
      <c r="G25" s="561"/>
      <c r="H25" s="561"/>
      <c r="I25" s="561"/>
      <c r="J25" s="561"/>
      <c r="K25" s="561"/>
      <c r="L25" s="561"/>
      <c r="M25" s="561"/>
      <c r="N25" s="561"/>
      <c r="O25" s="561"/>
      <c r="P25" s="561"/>
      <c r="Q25" s="561"/>
      <c r="R25" s="547"/>
      <c r="S25" s="562">
        <v>4</v>
      </c>
      <c r="T25" s="555"/>
      <c r="U25" s="556"/>
      <c r="V25" s="488"/>
      <c r="W25" s="488"/>
      <c r="X25" s="488"/>
      <c r="Y25" s="488"/>
      <c r="Z25" s="488"/>
    </row>
    <row r="26" spans="2:26" ht="31.5" customHeight="1" x14ac:dyDescent="0.3">
      <c r="B26" s="560">
        <v>2.8</v>
      </c>
      <c r="C26" s="116"/>
      <c r="D26" s="1042" t="str">
        <f ca="1">' '!A216</f>
        <v>Wir haben Einnahmequellen, die bald versiegen werden</v>
      </c>
      <c r="E26" s="1042"/>
      <c r="G26" s="561"/>
      <c r="H26" s="561"/>
      <c r="I26" s="561"/>
      <c r="J26" s="561"/>
      <c r="K26" s="561"/>
      <c r="L26" s="561"/>
      <c r="M26" s="561"/>
      <c r="N26" s="561"/>
      <c r="O26" s="561"/>
      <c r="P26" s="561"/>
      <c r="Q26" s="561"/>
      <c r="R26" s="547"/>
      <c r="S26" s="562">
        <v>3</v>
      </c>
      <c r="T26" s="555"/>
      <c r="U26" s="556"/>
      <c r="V26" s="488"/>
      <c r="W26" s="488"/>
      <c r="X26" s="488"/>
      <c r="Y26" s="488"/>
      <c r="Z26" s="488"/>
    </row>
    <row r="27" spans="2:26" ht="15.75" customHeight="1" x14ac:dyDescent="0.3">
      <c r="B27" s="540">
        <v>3</v>
      </c>
      <c r="C27" s="541"/>
      <c r="D27" s="1040" t="s">
        <v>421</v>
      </c>
      <c r="E27" s="1040"/>
      <c r="G27" s="543"/>
      <c r="H27" s="543"/>
      <c r="I27" s="543"/>
      <c r="J27" s="543"/>
      <c r="K27" s="543"/>
      <c r="L27" s="543"/>
      <c r="M27" s="543"/>
      <c r="N27" s="544">
        <f>SUM(B151:B153)</f>
        <v>9</v>
      </c>
      <c r="O27" s="545" t="s">
        <v>419</v>
      </c>
      <c r="P27" s="544">
        <v>15</v>
      </c>
      <c r="Q27" s="544"/>
      <c r="R27" s="547"/>
      <c r="S27" s="548"/>
      <c r="T27" s="559"/>
      <c r="U27" s="550"/>
      <c r="V27" s="488"/>
      <c r="W27" s="488"/>
      <c r="X27" s="488"/>
      <c r="Y27" s="488"/>
      <c r="Z27" s="488"/>
    </row>
    <row r="28" spans="2:26" ht="31.5" customHeight="1" x14ac:dyDescent="0.3">
      <c r="B28" s="552">
        <v>3.1</v>
      </c>
      <c r="C28" s="116"/>
      <c r="D28" s="1035" t="str">
        <f ca="1">' '!A218</f>
        <v>Wir können unsere Kosten senken</v>
      </c>
      <c r="E28" s="1035"/>
      <c r="G28" s="553"/>
      <c r="H28" s="553"/>
      <c r="I28" s="553"/>
      <c r="J28" s="553"/>
      <c r="K28" s="553"/>
      <c r="L28" s="553"/>
      <c r="M28" s="553"/>
      <c r="N28" s="553"/>
      <c r="O28" s="553"/>
      <c r="P28" s="553"/>
      <c r="Q28" s="553"/>
      <c r="R28" s="547"/>
      <c r="S28" s="554">
        <v>10</v>
      </c>
      <c r="T28" s="555"/>
      <c r="U28" s="556"/>
      <c r="V28" s="488"/>
      <c r="W28" s="488"/>
      <c r="X28" s="488"/>
      <c r="Y28" s="488"/>
      <c r="Z28" s="488"/>
    </row>
    <row r="29" spans="2:26" ht="31.5" customHeight="1" x14ac:dyDescent="0.3">
      <c r="B29" s="552">
        <v>3.2</v>
      </c>
      <c r="C29" s="541"/>
      <c r="D29" s="1035" t="str">
        <f ca="1">' '!A219</f>
        <v>Einige Kosten können unberechenbar werden</v>
      </c>
      <c r="E29" s="1035"/>
      <c r="G29" s="553"/>
      <c r="H29" s="553"/>
      <c r="I29" s="553"/>
      <c r="J29" s="553"/>
      <c r="K29" s="553"/>
      <c r="L29" s="553"/>
      <c r="M29" s="553"/>
      <c r="N29" s="553"/>
      <c r="O29" s="553"/>
      <c r="P29" s="553"/>
      <c r="Q29" s="563"/>
      <c r="R29" s="564"/>
      <c r="S29" s="554">
        <v>4</v>
      </c>
      <c r="T29" s="555"/>
      <c r="U29" s="556"/>
      <c r="V29" s="488"/>
      <c r="W29" s="488"/>
      <c r="X29" s="488"/>
      <c r="Y29" s="488"/>
      <c r="Z29" s="488"/>
    </row>
    <row r="30" spans="2:26" ht="90.75" customHeight="1" x14ac:dyDescent="0.3">
      <c r="B30" s="552">
        <v>3.3</v>
      </c>
      <c r="C30" s="558"/>
      <c r="D30" s="1035" t="str">
        <f ca="1">' '!A220</f>
        <v>Einige Kosten drohen schneller zu wachsen als die entsprechenden Einkünfte</v>
      </c>
      <c r="E30" s="1035"/>
      <c r="G30" s="553"/>
      <c r="H30" s="553"/>
      <c r="I30" s="553"/>
      <c r="J30" s="553"/>
      <c r="K30" s="553"/>
      <c r="L30" s="553"/>
      <c r="M30" s="553"/>
      <c r="N30" s="553"/>
      <c r="O30" s="553"/>
      <c r="P30" s="553"/>
      <c r="Q30" s="565"/>
      <c r="R30" s="566"/>
      <c r="S30" s="554">
        <v>10</v>
      </c>
      <c r="T30" s="555"/>
      <c r="U30" s="556"/>
      <c r="V30" s="488"/>
      <c r="W30" s="488"/>
      <c r="X30" s="488"/>
      <c r="Y30" s="488"/>
      <c r="Z30" s="488"/>
    </row>
    <row r="31" spans="2:26" ht="15.6" x14ac:dyDescent="0.3">
      <c r="B31" s="540">
        <v>4</v>
      </c>
      <c r="C31" s="541"/>
      <c r="D31" s="1040" t="s">
        <v>422</v>
      </c>
      <c r="E31" s="1040"/>
      <c r="G31" s="543"/>
      <c r="H31" s="543"/>
      <c r="I31" s="543"/>
      <c r="J31" s="543"/>
      <c r="K31" s="543"/>
      <c r="L31" s="543"/>
      <c r="M31" s="543"/>
      <c r="N31" s="544">
        <f>SUM(B155:B162)</f>
        <v>24</v>
      </c>
      <c r="O31" s="545" t="s">
        <v>419</v>
      </c>
      <c r="P31" s="544">
        <v>40</v>
      </c>
      <c r="Q31" s="544"/>
      <c r="R31" s="547"/>
      <c r="S31" s="548"/>
      <c r="T31" s="559"/>
      <c r="U31" s="550"/>
      <c r="V31" s="488"/>
      <c r="W31" s="488"/>
      <c r="X31" s="488"/>
      <c r="Y31" s="488"/>
      <c r="Z31" s="488"/>
    </row>
    <row r="32" spans="2:26" ht="31.5" customHeight="1" x14ac:dyDescent="0.3">
      <c r="B32" s="560">
        <v>4.0999999999999996</v>
      </c>
      <c r="C32" s="558"/>
      <c r="D32" s="1042" t="str">
        <f ca="1">' '!A222</f>
        <v>Wir können von einem wachsenden Markt profitieren</v>
      </c>
      <c r="E32" s="1042"/>
      <c r="G32" s="561"/>
      <c r="H32" s="561"/>
      <c r="I32" s="561"/>
      <c r="J32" s="561"/>
      <c r="K32" s="561"/>
      <c r="L32" s="561"/>
      <c r="M32" s="561"/>
      <c r="N32" s="561"/>
      <c r="O32" s="561"/>
      <c r="P32" s="561"/>
      <c r="Q32" s="561"/>
      <c r="R32" s="547"/>
      <c r="S32" s="562">
        <v>10</v>
      </c>
      <c r="T32" s="555"/>
      <c r="U32" s="556"/>
      <c r="V32" s="488"/>
      <c r="W32" s="488"/>
      <c r="X32" s="488"/>
      <c r="Y32" s="488"/>
      <c r="Z32" s="488"/>
    </row>
    <row r="33" spans="2:26" ht="31.5" customHeight="1" x14ac:dyDescent="0.3">
      <c r="B33" s="560">
        <v>4.2</v>
      </c>
      <c r="C33" s="558"/>
      <c r="D33" s="1042" t="str">
        <f ca="1">' '!A223</f>
        <v>Wir können neue Kundensegemente bedienen</v>
      </c>
      <c r="E33" s="1042"/>
      <c r="G33" s="561"/>
      <c r="H33" s="561"/>
      <c r="I33" s="561"/>
      <c r="J33" s="561"/>
      <c r="K33" s="561"/>
      <c r="L33" s="561"/>
      <c r="M33" s="561"/>
      <c r="N33" s="561"/>
      <c r="O33" s="561"/>
      <c r="P33" s="561"/>
      <c r="Q33" s="561"/>
      <c r="R33" s="547"/>
      <c r="S33" s="562">
        <v>9</v>
      </c>
      <c r="T33" s="555"/>
      <c r="U33" s="556"/>
      <c r="V33" s="488"/>
      <c r="W33" s="488"/>
      <c r="X33" s="488"/>
      <c r="Y33" s="488"/>
      <c r="Z33" s="488"/>
    </row>
    <row r="34" spans="2:26" ht="31.5" customHeight="1" x14ac:dyDescent="0.3">
      <c r="B34" s="560">
        <v>4.3</v>
      </c>
      <c r="C34" s="558"/>
      <c r="D34" s="1042" t="str">
        <f ca="1">' '!A224</f>
        <v>Aufgrund einer feineren Segmentierung,  können wir unsere Kunden besser bedienen</v>
      </c>
      <c r="E34" s="1042"/>
      <c r="G34" s="561"/>
      <c r="H34" s="561"/>
      <c r="I34" s="561"/>
      <c r="J34" s="561"/>
      <c r="K34" s="561"/>
      <c r="L34" s="561"/>
      <c r="M34" s="561"/>
      <c r="N34" s="561"/>
      <c r="O34" s="561"/>
      <c r="P34" s="561"/>
      <c r="Q34" s="561"/>
      <c r="R34" s="547"/>
      <c r="S34" s="562">
        <v>8</v>
      </c>
      <c r="T34" s="555"/>
      <c r="U34" s="556"/>
      <c r="V34" s="488"/>
      <c r="W34" s="488"/>
      <c r="X34" s="488"/>
      <c r="Y34" s="488"/>
      <c r="Z34" s="488"/>
    </row>
    <row r="35" spans="2:26" ht="31.5" customHeight="1" x14ac:dyDescent="0.3">
      <c r="B35" s="560">
        <v>4.4000000000000004</v>
      </c>
      <c r="C35" s="558"/>
      <c r="D35" s="1042" t="str">
        <f ca="1">' '!A225</f>
        <v>Es besteht die Gefahr, dass unser Markt bald gesättigt ist</v>
      </c>
      <c r="E35" s="1042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47"/>
      <c r="S35" s="562">
        <v>7</v>
      </c>
      <c r="T35" s="555"/>
      <c r="U35" s="556"/>
      <c r="V35" s="488"/>
      <c r="W35" s="488"/>
      <c r="X35" s="488"/>
      <c r="Y35" s="488"/>
      <c r="Z35" s="488"/>
    </row>
    <row r="36" spans="2:26" ht="31.5" customHeight="1" x14ac:dyDescent="0.3">
      <c r="B36" s="560">
        <v>4.5</v>
      </c>
      <c r="C36" s="558"/>
      <c r="D36" s="1042" t="str">
        <f ca="1">' '!A226</f>
        <v>Unsere Konkurrenten bedrohen unseren Marktanteil</v>
      </c>
      <c r="E36" s="1042"/>
      <c r="G36" s="561"/>
      <c r="H36" s="561"/>
      <c r="I36" s="561"/>
      <c r="J36" s="561"/>
      <c r="K36" s="561"/>
      <c r="L36" s="561"/>
      <c r="M36" s="561"/>
      <c r="N36" s="561"/>
      <c r="O36" s="561"/>
      <c r="P36" s="561"/>
      <c r="Q36" s="561"/>
      <c r="R36" s="547"/>
      <c r="S36" s="562">
        <v>6</v>
      </c>
      <c r="T36" s="555"/>
      <c r="U36" s="556"/>
      <c r="V36" s="488"/>
      <c r="W36" s="488"/>
      <c r="X36" s="488"/>
      <c r="Y36" s="488"/>
      <c r="Z36" s="488"/>
    </row>
    <row r="37" spans="2:26" ht="31.5" customHeight="1" x14ac:dyDescent="0.3">
      <c r="B37" s="560">
        <v>4.5999999999999996</v>
      </c>
      <c r="C37" s="558"/>
      <c r="D37" s="1042" t="str">
        <f ca="1">' '!A227</f>
        <v>Es besteht die Möglichkeit, dass wir Kunden verlieren</v>
      </c>
      <c r="E37" s="1042"/>
      <c r="G37" s="561"/>
      <c r="H37" s="561"/>
      <c r="I37" s="561"/>
      <c r="J37" s="561"/>
      <c r="K37" s="561"/>
      <c r="L37" s="561"/>
      <c r="M37" s="561"/>
      <c r="N37" s="561"/>
      <c r="O37" s="561"/>
      <c r="P37" s="561"/>
      <c r="Q37" s="561"/>
      <c r="R37" s="547"/>
      <c r="S37" s="562">
        <v>5</v>
      </c>
      <c r="T37" s="555"/>
      <c r="U37" s="556"/>
      <c r="V37" s="488"/>
      <c r="W37" s="488"/>
      <c r="X37" s="488"/>
      <c r="Y37" s="488"/>
      <c r="Z37" s="488"/>
    </row>
    <row r="38" spans="2:26" ht="31.5" customHeight="1" x14ac:dyDescent="0.3">
      <c r="B38" s="560">
        <v>4.7</v>
      </c>
      <c r="C38" s="558"/>
      <c r="D38" s="1042" t="str">
        <f ca="1">' '!A228</f>
        <v>Es besteht die Gefahr, dass unsere Kunden in Zahlungsverzug geraten</v>
      </c>
      <c r="E38" s="1042"/>
      <c r="G38" s="561"/>
      <c r="H38" s="561"/>
      <c r="I38" s="561"/>
      <c r="J38" s="561"/>
      <c r="K38" s="561"/>
      <c r="L38" s="561"/>
      <c r="M38" s="561"/>
      <c r="N38" s="561"/>
      <c r="O38" s="561"/>
      <c r="P38" s="561"/>
      <c r="Q38" s="561"/>
      <c r="R38" s="547"/>
      <c r="S38" s="562">
        <v>4</v>
      </c>
      <c r="T38" s="555"/>
      <c r="U38" s="556"/>
      <c r="V38" s="488"/>
      <c r="W38" s="488"/>
      <c r="X38" s="488"/>
      <c r="Y38" s="488"/>
      <c r="Z38" s="488"/>
    </row>
    <row r="39" spans="2:26" ht="31.5" customHeight="1" x14ac:dyDescent="0.3">
      <c r="B39" s="560">
        <v>4.8</v>
      </c>
      <c r="C39" s="558"/>
      <c r="D39" s="1042" t="str">
        <f ca="1">' '!A229</f>
        <v>Es besteht das Risiko, dass sich der Wettbewerb verschärft</v>
      </c>
      <c r="E39" s="1042"/>
      <c r="G39" s="561"/>
      <c r="H39" s="561"/>
      <c r="I39" s="561"/>
      <c r="J39" s="561"/>
      <c r="K39" s="561"/>
      <c r="L39" s="561"/>
      <c r="M39" s="561"/>
      <c r="N39" s="561"/>
      <c r="O39" s="561"/>
      <c r="P39" s="561"/>
      <c r="Q39" s="561"/>
      <c r="R39" s="547"/>
      <c r="S39" s="562">
        <v>3</v>
      </c>
      <c r="T39" s="555"/>
      <c r="U39" s="556"/>
      <c r="V39" s="488"/>
      <c r="W39" s="488"/>
      <c r="X39" s="488"/>
      <c r="Y39" s="488"/>
      <c r="Z39" s="488"/>
    </row>
    <row r="40" spans="2:26" ht="15.6" x14ac:dyDescent="0.3">
      <c r="B40" s="540">
        <v>5</v>
      </c>
      <c r="C40" s="541"/>
      <c r="D40" s="1040" t="s">
        <v>423</v>
      </c>
      <c r="E40" s="1040"/>
      <c r="G40" s="543"/>
      <c r="H40" s="543"/>
      <c r="I40" s="543"/>
      <c r="J40" s="543"/>
      <c r="K40" s="543"/>
      <c r="L40" s="543"/>
      <c r="M40" s="543"/>
      <c r="N40" s="544">
        <f>SUM(B164:B170)</f>
        <v>20</v>
      </c>
      <c r="O40" s="545" t="s">
        <v>419</v>
      </c>
      <c r="P40" s="544">
        <v>35</v>
      </c>
      <c r="Q40" s="546"/>
      <c r="R40" s="547"/>
      <c r="S40" s="548"/>
      <c r="T40" s="555"/>
      <c r="U40" s="556"/>
      <c r="V40" s="488"/>
      <c r="W40" s="488"/>
      <c r="X40" s="488"/>
      <c r="Y40" s="488"/>
      <c r="Z40" s="488"/>
    </row>
    <row r="41" spans="2:26" ht="31.5" customHeight="1" x14ac:dyDescent="0.3">
      <c r="B41" s="552">
        <v>5.0999999999999996</v>
      </c>
      <c r="C41" s="116"/>
      <c r="D41" s="1035" t="str">
        <f ca="1">' '!A231</f>
        <v>Wir können die Effizienz und Effektivität unserer Vertriebskanäle verbessern</v>
      </c>
      <c r="E41" s="1035"/>
      <c r="G41" s="553"/>
      <c r="H41" s="553"/>
      <c r="I41" s="553"/>
      <c r="J41" s="553"/>
      <c r="K41" s="553"/>
      <c r="L41" s="553"/>
      <c r="M41" s="553"/>
      <c r="N41" s="553"/>
      <c r="O41" s="553"/>
      <c r="P41" s="553"/>
      <c r="Q41" s="553"/>
      <c r="R41" s="547"/>
      <c r="S41" s="554">
        <v>1</v>
      </c>
      <c r="T41" s="555"/>
      <c r="U41" s="556"/>
      <c r="V41" s="488"/>
      <c r="W41" s="488"/>
      <c r="X41" s="488"/>
      <c r="Y41" s="488"/>
      <c r="Z41" s="488"/>
    </row>
    <row r="42" spans="2:26" ht="31.5" customHeight="1" x14ac:dyDescent="0.3">
      <c r="B42" s="552">
        <v>5.2</v>
      </c>
      <c r="C42" s="541"/>
      <c r="D42" s="1035" t="str">
        <f ca="1">' '!A232</f>
        <v>Wir können unserer Vertriebskanäle besser integrieren</v>
      </c>
      <c r="E42" s="1035"/>
      <c r="G42" s="553"/>
      <c r="H42" s="553"/>
      <c r="I42" s="553"/>
      <c r="J42" s="553"/>
      <c r="K42" s="553"/>
      <c r="L42" s="553"/>
      <c r="M42" s="553"/>
      <c r="N42" s="553"/>
      <c r="O42" s="553"/>
      <c r="P42" s="553"/>
      <c r="Q42" s="563"/>
      <c r="R42" s="547"/>
      <c r="S42" s="554">
        <v>2</v>
      </c>
      <c r="T42" s="555"/>
      <c r="U42" s="556"/>
      <c r="V42" s="488"/>
      <c r="W42" s="488"/>
      <c r="X42" s="488"/>
      <c r="Y42" s="488"/>
      <c r="Z42" s="488"/>
    </row>
    <row r="43" spans="2:26" ht="31.5" customHeight="1" x14ac:dyDescent="0.3">
      <c r="B43" s="552">
        <v>5.3</v>
      </c>
      <c r="C43" s="558"/>
      <c r="D43" s="1035" t="str">
        <f ca="1">' '!A233</f>
        <v>Wir können zusätzliche Partner-Vertriebskanäle finden</v>
      </c>
      <c r="E43" s="1035"/>
      <c r="G43" s="553"/>
      <c r="H43" s="553"/>
      <c r="I43" s="553"/>
      <c r="J43" s="553"/>
      <c r="K43" s="553"/>
      <c r="L43" s="553"/>
      <c r="M43" s="553"/>
      <c r="N43" s="553"/>
      <c r="O43" s="553"/>
      <c r="P43" s="553"/>
      <c r="Q43" s="565"/>
      <c r="R43" s="547"/>
      <c r="S43" s="554">
        <v>3</v>
      </c>
      <c r="T43" s="555"/>
      <c r="U43" s="556"/>
      <c r="V43" s="488"/>
      <c r="W43" s="488"/>
      <c r="X43" s="488"/>
      <c r="Y43" s="488"/>
      <c r="Z43" s="488"/>
    </row>
    <row r="44" spans="2:26" ht="31.5" customHeight="1" x14ac:dyDescent="0.3">
      <c r="B44" s="552">
        <v>5.4</v>
      </c>
      <c r="C44" s="541"/>
      <c r="D44" s="1035" t="str">
        <f ca="1">' '!A234</f>
        <v>Wir können unsere Margen steigern indem wir unsere Kunden direkt bedienen</v>
      </c>
      <c r="E44" s="1035"/>
      <c r="G44" s="553"/>
      <c r="H44" s="553"/>
      <c r="I44" s="553"/>
      <c r="J44" s="553"/>
      <c r="K44" s="553"/>
      <c r="L44" s="553"/>
      <c r="M44" s="553"/>
      <c r="N44" s="553"/>
      <c r="O44" s="553"/>
      <c r="P44" s="553"/>
      <c r="Q44" s="553"/>
      <c r="R44" s="547"/>
      <c r="S44" s="554">
        <v>4</v>
      </c>
      <c r="T44" s="555"/>
      <c r="U44" s="556"/>
      <c r="V44" s="488"/>
      <c r="W44" s="488"/>
      <c r="X44" s="488"/>
      <c r="Y44" s="488"/>
      <c r="Z44" s="488"/>
    </row>
    <row r="45" spans="2:26" ht="31.5" customHeight="1" x14ac:dyDescent="0.3">
      <c r="B45" s="552">
        <v>5.5</v>
      </c>
      <c r="C45" s="116"/>
      <c r="D45" s="1035" t="str">
        <f ca="1">' '!A235</f>
        <v>Wir können die Vertriebskanälen besser mit den Kundensegmenten abstimmen</v>
      </c>
      <c r="E45" s="1035"/>
      <c r="G45" s="553"/>
      <c r="H45" s="553"/>
      <c r="I45" s="553"/>
      <c r="J45" s="553"/>
      <c r="K45" s="553"/>
      <c r="L45" s="553"/>
      <c r="M45" s="553"/>
      <c r="N45" s="553"/>
      <c r="O45" s="553"/>
      <c r="P45" s="553"/>
      <c r="Q45" s="553"/>
      <c r="R45" s="547"/>
      <c r="S45" s="554">
        <v>5</v>
      </c>
      <c r="T45" s="555"/>
      <c r="U45" s="556"/>
      <c r="V45" s="488"/>
      <c r="W45" s="488"/>
      <c r="X45" s="488"/>
      <c r="Y45" s="488"/>
      <c r="Z45" s="488"/>
    </row>
    <row r="46" spans="2:26" ht="31.5" customHeight="1" x14ac:dyDescent="0.3">
      <c r="B46" s="552">
        <v>5.6</v>
      </c>
      <c r="C46" s="541"/>
      <c r="D46" s="1035" t="str">
        <f ca="1">' '!A236</f>
        <v>Unsere Konkurrenten bedrohen unsere Vertriebskanäle</v>
      </c>
      <c r="E46" s="1035"/>
      <c r="G46" s="553"/>
      <c r="H46" s="553"/>
      <c r="I46" s="553"/>
      <c r="J46" s="553"/>
      <c r="K46" s="553"/>
      <c r="L46" s="553"/>
      <c r="M46" s="553"/>
      <c r="N46" s="553"/>
      <c r="O46" s="553"/>
      <c r="P46" s="553"/>
      <c r="Q46" s="563"/>
      <c r="R46" s="547"/>
      <c r="S46" s="554">
        <v>6</v>
      </c>
      <c r="T46" s="555"/>
      <c r="U46" s="556"/>
      <c r="V46" s="488"/>
      <c r="W46" s="488"/>
      <c r="X46" s="488"/>
      <c r="Y46" s="488"/>
      <c r="Z46" s="488"/>
    </row>
    <row r="47" spans="2:26" ht="31.5" customHeight="1" x14ac:dyDescent="0.3">
      <c r="B47" s="552">
        <v>5.7</v>
      </c>
      <c r="C47" s="558"/>
      <c r="D47" s="1035" t="str">
        <f ca="1">' '!A237</f>
        <v>Unsere Vertriebswege laufen Gefahr irrelevant für unsere Kunden zu werden.</v>
      </c>
      <c r="E47" s="1035"/>
      <c r="G47" s="553"/>
      <c r="H47" s="553"/>
      <c r="I47" s="553"/>
      <c r="J47" s="553"/>
      <c r="K47" s="553"/>
      <c r="L47" s="553"/>
      <c r="M47" s="553"/>
      <c r="N47" s="553"/>
      <c r="O47" s="553"/>
      <c r="P47" s="553"/>
      <c r="Q47" s="565"/>
      <c r="R47" s="547"/>
      <c r="S47" s="554">
        <v>7</v>
      </c>
      <c r="T47" s="555"/>
      <c r="U47" s="556"/>
      <c r="V47" s="488"/>
      <c r="W47" s="488"/>
      <c r="X47" s="488"/>
      <c r="Y47" s="488"/>
      <c r="Z47" s="488"/>
    </row>
    <row r="48" spans="2:26" ht="15.6" x14ac:dyDescent="0.3">
      <c r="B48" s="540">
        <v>6</v>
      </c>
      <c r="C48" s="541"/>
      <c r="D48" s="1040" t="s">
        <v>418</v>
      </c>
      <c r="E48" s="1040"/>
      <c r="G48" s="543"/>
      <c r="H48" s="543"/>
      <c r="I48" s="543"/>
      <c r="J48" s="543"/>
      <c r="K48" s="543"/>
      <c r="L48" s="543"/>
      <c r="M48" s="543"/>
      <c r="N48" s="544">
        <f>SUM(B172:B178)</f>
        <v>20</v>
      </c>
      <c r="O48" s="545" t="s">
        <v>419</v>
      </c>
      <c r="P48" s="544">
        <v>35</v>
      </c>
      <c r="Q48" s="546"/>
      <c r="R48" s="547"/>
      <c r="S48" s="548"/>
      <c r="T48" s="555"/>
      <c r="U48" s="556"/>
      <c r="V48" s="488"/>
      <c r="W48" s="488"/>
      <c r="X48" s="488"/>
      <c r="Y48" s="488"/>
      <c r="Z48" s="488"/>
    </row>
    <row r="49" spans="2:26" ht="31.5" customHeight="1" x14ac:dyDescent="0.3">
      <c r="B49" s="560">
        <v>6.1</v>
      </c>
      <c r="C49" s="558"/>
      <c r="D49" s="1042" t="str">
        <f ca="1">' '!A239</f>
        <v>Die Kundenbetreuung kann verbessert werden</v>
      </c>
      <c r="E49" s="1042"/>
      <c r="G49" s="561"/>
      <c r="H49" s="561"/>
      <c r="I49" s="561"/>
      <c r="J49" s="561"/>
      <c r="K49" s="561"/>
      <c r="L49" s="561"/>
      <c r="M49" s="561"/>
      <c r="N49" s="561"/>
      <c r="O49" s="561"/>
      <c r="P49" s="561"/>
      <c r="Q49" s="561"/>
      <c r="R49" s="547"/>
      <c r="S49" s="562">
        <v>8</v>
      </c>
      <c r="T49" s="555"/>
      <c r="U49" s="556"/>
      <c r="V49" s="488"/>
      <c r="W49" s="488"/>
      <c r="X49" s="488"/>
      <c r="Y49" s="488"/>
      <c r="Z49" s="488"/>
    </row>
    <row r="50" spans="2:26" ht="31.5" customHeight="1" x14ac:dyDescent="0.3">
      <c r="B50" s="560">
        <v>6.2</v>
      </c>
      <c r="C50" s="558"/>
      <c r="D50" s="1042" t="str">
        <f ca="1">' '!A240</f>
        <v>Wir können die Beziehungen zu unseren Kunden stärken</v>
      </c>
      <c r="E50" s="1042"/>
      <c r="G50" s="561"/>
      <c r="H50" s="561"/>
      <c r="I50" s="561"/>
      <c r="J50" s="561"/>
      <c r="K50" s="561"/>
      <c r="L50" s="561"/>
      <c r="M50" s="561"/>
      <c r="N50" s="561"/>
      <c r="O50" s="561"/>
      <c r="P50" s="561"/>
      <c r="Q50" s="561"/>
      <c r="R50" s="547"/>
      <c r="S50" s="562">
        <v>7</v>
      </c>
      <c r="T50" s="555"/>
      <c r="U50" s="556"/>
      <c r="V50" s="488"/>
      <c r="W50" s="488"/>
      <c r="X50" s="488"/>
      <c r="Y50" s="488"/>
      <c r="Z50" s="488"/>
    </row>
    <row r="51" spans="2:26" ht="31.5" customHeight="1" x14ac:dyDescent="0.3">
      <c r="B51" s="560">
        <v>6.3</v>
      </c>
      <c r="C51" s="558"/>
      <c r="D51" s="1042" t="str">
        <f ca="1">' '!A241</f>
        <v>Wir können die Kundenpersonifizierung verbessern</v>
      </c>
      <c r="E51" s="1042"/>
      <c r="G51" s="561"/>
      <c r="H51" s="561"/>
      <c r="I51" s="561"/>
      <c r="J51" s="561"/>
      <c r="K51" s="561"/>
      <c r="L51" s="561"/>
      <c r="M51" s="561"/>
      <c r="N51" s="561"/>
      <c r="O51" s="561"/>
      <c r="P51" s="561"/>
      <c r="Q51" s="561"/>
      <c r="R51" s="547"/>
      <c r="S51" s="562">
        <v>6</v>
      </c>
      <c r="T51" s="555"/>
      <c r="U51" s="556"/>
      <c r="V51" s="488"/>
      <c r="W51" s="488"/>
      <c r="X51" s="488"/>
      <c r="Y51" s="488"/>
      <c r="Z51" s="488"/>
    </row>
    <row r="52" spans="2:26" ht="31.5" customHeight="1" x14ac:dyDescent="0.3">
      <c r="B52" s="560">
        <v>6.4</v>
      </c>
      <c r="C52" s="558"/>
      <c r="D52" s="1042" t="str">
        <f ca="1">' '!A242</f>
        <v>Wir können für den Kunden die Kosten beim Wechsel zur Konkurrenz erhöhen (switching costs)</v>
      </c>
      <c r="E52" s="1042"/>
      <c r="G52" s="561"/>
      <c r="H52" s="561"/>
      <c r="I52" s="561"/>
      <c r="J52" s="561"/>
      <c r="K52" s="561"/>
      <c r="L52" s="561"/>
      <c r="M52" s="561"/>
      <c r="N52" s="561"/>
      <c r="O52" s="561"/>
      <c r="P52" s="561"/>
      <c r="Q52" s="561"/>
      <c r="R52" s="547"/>
      <c r="S52" s="562">
        <v>5</v>
      </c>
      <c r="T52" s="555"/>
      <c r="U52" s="556"/>
      <c r="V52" s="488"/>
      <c r="W52" s="488"/>
      <c r="X52" s="488"/>
      <c r="Y52" s="488"/>
      <c r="Z52" s="488"/>
    </row>
    <row r="53" spans="2:26" ht="31.5" customHeight="1" x14ac:dyDescent="0.3">
      <c r="B53" s="560">
        <v>6.5</v>
      </c>
      <c r="C53" s="558"/>
      <c r="D53" s="1042" t="str">
        <f ca="1">' '!A243</f>
        <v>Wir haben die unrentablen Kunden identifiziert und "beseitigt"</v>
      </c>
      <c r="E53" s="1042"/>
      <c r="G53" s="561"/>
      <c r="H53" s="561"/>
      <c r="I53" s="561"/>
      <c r="J53" s="561"/>
      <c r="K53" s="561"/>
      <c r="L53" s="561"/>
      <c r="M53" s="561"/>
      <c r="N53" s="561"/>
      <c r="O53" s="561"/>
      <c r="P53" s="561"/>
      <c r="Q53" s="561"/>
      <c r="R53" s="547"/>
      <c r="S53" s="562">
        <v>4</v>
      </c>
      <c r="T53" s="555"/>
      <c r="U53" s="556"/>
      <c r="V53" s="488"/>
      <c r="W53" s="488"/>
      <c r="X53" s="488"/>
      <c r="Y53" s="488"/>
      <c r="Z53" s="488"/>
    </row>
    <row r="54" spans="2:26" ht="31.5" customHeight="1" x14ac:dyDescent="0.3">
      <c r="B54" s="560">
        <v>6.6</v>
      </c>
      <c r="C54" s="558"/>
      <c r="D54" s="1042" t="str">
        <f ca="1">' '!A244</f>
        <v>Wir haben gewisse Beziehungen automatisiert</v>
      </c>
      <c r="E54" s="1042"/>
      <c r="G54" s="561"/>
      <c r="H54" s="561"/>
      <c r="I54" s="561"/>
      <c r="J54" s="561"/>
      <c r="K54" s="561"/>
      <c r="L54" s="561"/>
      <c r="M54" s="561"/>
      <c r="N54" s="561"/>
      <c r="O54" s="561"/>
      <c r="P54" s="561"/>
      <c r="Q54" s="561"/>
      <c r="R54" s="547"/>
      <c r="S54" s="562">
        <v>3</v>
      </c>
      <c r="T54" s="555"/>
      <c r="U54" s="556"/>
      <c r="V54" s="488"/>
      <c r="W54" s="488"/>
      <c r="X54" s="488"/>
      <c r="Y54" s="488"/>
      <c r="Z54" s="488"/>
    </row>
    <row r="55" spans="2:26" ht="31.5" customHeight="1" x14ac:dyDescent="0.3">
      <c r="B55" s="560">
        <v>6.7</v>
      </c>
      <c r="C55" s="558"/>
      <c r="D55" s="1042" t="str">
        <f ca="1">' '!A245</f>
        <v>Es besteht das Risiko, dass sich die Beziehungen zu unseren Kunden verschlechtert</v>
      </c>
      <c r="E55" s="1042"/>
      <c r="G55" s="561"/>
      <c r="H55" s="561"/>
      <c r="I55" s="561"/>
      <c r="J55" s="561"/>
      <c r="K55" s="561"/>
      <c r="L55" s="561"/>
      <c r="M55" s="561"/>
      <c r="N55" s="561"/>
      <c r="O55" s="561"/>
      <c r="P55" s="561"/>
      <c r="Q55" s="561"/>
      <c r="R55" s="547"/>
      <c r="S55" s="562">
        <v>1</v>
      </c>
      <c r="T55" s="555"/>
      <c r="U55" s="556"/>
      <c r="V55" s="488"/>
      <c r="W55" s="488"/>
      <c r="X55" s="488"/>
      <c r="Y55" s="488"/>
      <c r="Z55" s="488"/>
    </row>
    <row r="56" spans="2:26" ht="15.6" x14ac:dyDescent="0.3">
      <c r="B56" s="540">
        <v>7</v>
      </c>
      <c r="C56" s="541"/>
      <c r="D56" s="1040" t="s">
        <v>424</v>
      </c>
      <c r="E56" s="1040"/>
      <c r="G56" s="543"/>
      <c r="H56" s="543"/>
      <c r="I56" s="543"/>
      <c r="J56" s="543"/>
      <c r="K56" s="543"/>
      <c r="L56" s="543"/>
      <c r="M56" s="543"/>
      <c r="N56" s="544">
        <f>SUM(B180:B185)</f>
        <v>17</v>
      </c>
      <c r="O56" s="545" t="s">
        <v>419</v>
      </c>
      <c r="P56" s="544">
        <v>30</v>
      </c>
      <c r="Q56" s="546"/>
      <c r="R56" s="547"/>
      <c r="S56" s="548"/>
      <c r="T56" s="555"/>
      <c r="U56" s="556"/>
      <c r="V56" s="488"/>
      <c r="W56" s="488"/>
      <c r="X56" s="488"/>
      <c r="Y56" s="488"/>
      <c r="Z56" s="488"/>
    </row>
    <row r="57" spans="2:26" ht="31.5" customHeight="1" x14ac:dyDescent="0.3">
      <c r="B57" s="552">
        <v>7.1</v>
      </c>
      <c r="C57" s="116"/>
      <c r="D57" s="1035" t="str">
        <f ca="1">' '!A247</f>
        <v>Wir können billigere Ressourcen einsetzen um das gleiche Resultat zu erzielen</v>
      </c>
      <c r="E57" s="1035"/>
      <c r="G57" s="553"/>
      <c r="H57" s="553"/>
      <c r="I57" s="553"/>
      <c r="J57" s="553"/>
      <c r="K57" s="553"/>
      <c r="L57" s="553"/>
      <c r="M57" s="553"/>
      <c r="N57" s="553"/>
      <c r="O57" s="553"/>
      <c r="P57" s="553"/>
      <c r="Q57" s="553"/>
      <c r="R57" s="547"/>
      <c r="S57" s="554">
        <v>9</v>
      </c>
      <c r="T57" s="555"/>
      <c r="U57" s="556"/>
      <c r="V57" s="488"/>
      <c r="W57" s="488"/>
      <c r="X57" s="488"/>
      <c r="Y57" s="488"/>
      <c r="Z57" s="488"/>
    </row>
    <row r="58" spans="2:26" ht="31.5" customHeight="1" x14ac:dyDescent="0.3">
      <c r="B58" s="552">
        <v>7.2</v>
      </c>
      <c r="C58" s="116"/>
      <c r="D58" s="1035" t="str">
        <f ca="1">' '!A248</f>
        <v>Wir besitzen Kernressourcen, die von unseren Partnern bezogen werden könnten</v>
      </c>
      <c r="E58" s="1035"/>
      <c r="G58" s="553"/>
      <c r="H58" s="553"/>
      <c r="I58" s="553"/>
      <c r="J58" s="553"/>
      <c r="K58" s="553"/>
      <c r="L58" s="553"/>
      <c r="M58" s="553"/>
      <c r="N58" s="553"/>
      <c r="O58" s="553"/>
      <c r="P58" s="553"/>
      <c r="Q58" s="553"/>
      <c r="R58" s="547"/>
      <c r="S58" s="554">
        <v>8</v>
      </c>
      <c r="T58" s="555"/>
      <c r="U58" s="556"/>
      <c r="V58" s="488"/>
      <c r="W58" s="488"/>
      <c r="X58" s="488"/>
      <c r="Y58" s="488"/>
      <c r="Z58" s="488"/>
    </row>
    <row r="59" spans="2:26" ht="31.5" customHeight="1" x14ac:dyDescent="0.3">
      <c r="B59" s="552">
        <v>7.3</v>
      </c>
      <c r="C59" s="116"/>
      <c r="D59" s="1035" t="str">
        <f ca="1">' '!A249</f>
        <v>Wir besitzen Kernressourcen, die zu wenig genutzt werden</v>
      </c>
      <c r="E59" s="1035"/>
      <c r="G59" s="553"/>
      <c r="H59" s="553"/>
      <c r="I59" s="553"/>
      <c r="J59" s="553"/>
      <c r="K59" s="553"/>
      <c r="L59" s="553"/>
      <c r="M59" s="553"/>
      <c r="N59" s="553"/>
      <c r="O59" s="553"/>
      <c r="P59" s="553"/>
      <c r="Q59" s="553"/>
      <c r="R59" s="547"/>
      <c r="S59" s="554">
        <v>7</v>
      </c>
      <c r="T59" s="555"/>
      <c r="U59" s="556"/>
      <c r="V59" s="488"/>
      <c r="W59" s="488"/>
      <c r="X59" s="488"/>
      <c r="Y59" s="488"/>
      <c r="Z59" s="488"/>
    </row>
    <row r="60" spans="2:26" ht="31.5" customHeight="1" x14ac:dyDescent="0.3">
      <c r="B60" s="552">
        <v>7.4</v>
      </c>
      <c r="C60" s="116"/>
      <c r="D60" s="1035" t="str">
        <f ca="1">' '!A250</f>
        <v>Wir besitzen Patente oder andere ungenutzte Erfindungen, die für andere von Wert sein könnten</v>
      </c>
      <c r="E60" s="1035"/>
      <c r="G60" s="553"/>
      <c r="H60" s="553"/>
      <c r="I60" s="553"/>
      <c r="J60" s="553"/>
      <c r="K60" s="553"/>
      <c r="L60" s="553"/>
      <c r="M60" s="553"/>
      <c r="N60" s="553"/>
      <c r="O60" s="553"/>
      <c r="P60" s="553"/>
      <c r="Q60" s="553"/>
      <c r="R60" s="547"/>
      <c r="S60" s="554">
        <v>6</v>
      </c>
      <c r="T60" s="555"/>
      <c r="U60" s="556"/>
      <c r="V60" s="488"/>
      <c r="W60" s="488"/>
      <c r="X60" s="488"/>
      <c r="Y60" s="488"/>
      <c r="Z60" s="488"/>
    </row>
    <row r="61" spans="2:26" ht="31.5" customHeight="1" x14ac:dyDescent="0.3">
      <c r="B61" s="552">
        <v>7.5</v>
      </c>
      <c r="C61" s="116"/>
      <c r="D61" s="1035" t="str">
        <f ca="1">' '!A251</f>
        <v>Es besteht das Risiko, dass einige Ressourcen knapp werden könnten</v>
      </c>
      <c r="E61" s="1035"/>
      <c r="G61" s="553"/>
      <c r="H61" s="553"/>
      <c r="I61" s="553"/>
      <c r="J61" s="553"/>
      <c r="K61" s="553"/>
      <c r="L61" s="553"/>
      <c r="M61" s="553"/>
      <c r="N61" s="553"/>
      <c r="O61" s="553"/>
      <c r="P61" s="553"/>
      <c r="Q61" s="553"/>
      <c r="R61" s="547"/>
      <c r="S61" s="554">
        <v>5</v>
      </c>
      <c r="T61" s="555"/>
      <c r="U61" s="556"/>
      <c r="V61" s="488"/>
      <c r="W61" s="488"/>
      <c r="X61" s="488"/>
      <c r="Y61" s="488"/>
      <c r="Z61" s="488"/>
    </row>
    <row r="62" spans="2:26" ht="31.5" customHeight="1" x14ac:dyDescent="0.3">
      <c r="B62" s="552">
        <v>7.6</v>
      </c>
      <c r="C62" s="116"/>
      <c r="D62" s="1035" t="str">
        <f ca="1">' '!A252</f>
        <v>Die Qualität unserer Ressourcen sind in Gefahr</v>
      </c>
      <c r="E62" s="1035"/>
      <c r="G62" s="553"/>
      <c r="H62" s="553"/>
      <c r="I62" s="553"/>
      <c r="J62" s="553"/>
      <c r="K62" s="553"/>
      <c r="L62" s="553"/>
      <c r="M62" s="553"/>
      <c r="N62" s="553"/>
      <c r="O62" s="553"/>
      <c r="P62" s="553"/>
      <c r="Q62" s="553"/>
      <c r="R62" s="547"/>
      <c r="S62" s="554">
        <v>4</v>
      </c>
      <c r="T62" s="555"/>
      <c r="U62" s="556"/>
      <c r="V62" s="488"/>
      <c r="W62" s="488"/>
      <c r="X62" s="488"/>
      <c r="Y62" s="488"/>
      <c r="Z62" s="488"/>
    </row>
    <row r="63" spans="2:26" ht="15.6" x14ac:dyDescent="0.3">
      <c r="B63" s="540">
        <v>8</v>
      </c>
      <c r="C63" s="541"/>
      <c r="D63" s="1040" t="s">
        <v>425</v>
      </c>
      <c r="E63" s="1040"/>
      <c r="G63" s="543"/>
      <c r="H63" s="543"/>
      <c r="I63" s="543"/>
      <c r="J63" s="543"/>
      <c r="K63" s="543"/>
      <c r="L63" s="543"/>
      <c r="M63" s="543"/>
      <c r="N63" s="544">
        <f>SUM(B187:B191)</f>
        <v>15</v>
      </c>
      <c r="O63" s="545" t="s">
        <v>419</v>
      </c>
      <c r="P63" s="544">
        <v>25</v>
      </c>
      <c r="Q63" s="546"/>
      <c r="R63" s="547"/>
      <c r="S63" s="548"/>
      <c r="T63" s="555"/>
      <c r="U63" s="556"/>
      <c r="V63" s="488"/>
      <c r="W63" s="488"/>
      <c r="X63" s="488"/>
      <c r="Y63" s="488"/>
      <c r="Z63" s="488"/>
    </row>
    <row r="64" spans="2:26" ht="31.5" customHeight="1" x14ac:dyDescent="0.3">
      <c r="B64" s="560">
        <v>8.1</v>
      </c>
      <c r="C64" s="558"/>
      <c r="D64" s="1042" t="str">
        <f ca="1">' '!A254</f>
        <v>Wir können einige Kernaktivitäten standardisieren</v>
      </c>
      <c r="E64" s="1042"/>
      <c r="G64" s="561"/>
      <c r="H64" s="561"/>
      <c r="I64" s="561"/>
      <c r="J64" s="561"/>
      <c r="K64" s="561"/>
      <c r="L64" s="561"/>
      <c r="M64" s="561"/>
      <c r="N64" s="561"/>
      <c r="O64" s="561"/>
      <c r="P64" s="561"/>
      <c r="Q64" s="561"/>
      <c r="R64" s="547"/>
      <c r="S64" s="562">
        <v>8</v>
      </c>
      <c r="T64" s="555"/>
      <c r="U64" s="556"/>
      <c r="V64" s="488"/>
      <c r="W64" s="488"/>
      <c r="X64" s="488"/>
      <c r="Y64" s="488"/>
      <c r="Z64" s="488"/>
    </row>
    <row r="65" spans="2:26" ht="31.5" customHeight="1" x14ac:dyDescent="0.3">
      <c r="B65" s="560">
        <v>8.1999999999999993</v>
      </c>
      <c r="C65" s="558"/>
      <c r="D65" s="1042" t="str">
        <f ca="1">' '!A255</f>
        <v>Wir können allgemein unsere Leistung verbessern</v>
      </c>
      <c r="E65" s="1042"/>
      <c r="G65" s="561"/>
      <c r="H65" s="561"/>
      <c r="I65" s="561"/>
      <c r="J65" s="561"/>
      <c r="K65" s="561"/>
      <c r="L65" s="561"/>
      <c r="M65" s="561"/>
      <c r="N65" s="561"/>
      <c r="O65" s="561"/>
      <c r="P65" s="561"/>
      <c r="Q65" s="561"/>
      <c r="R65" s="547"/>
      <c r="S65" s="562">
        <v>5</v>
      </c>
      <c r="T65" s="555"/>
      <c r="U65" s="556"/>
      <c r="V65" s="488"/>
      <c r="W65" s="488"/>
      <c r="X65" s="488"/>
      <c r="Y65" s="488"/>
      <c r="Z65" s="488"/>
    </row>
    <row r="66" spans="2:26" ht="31.5" customHeight="1" x14ac:dyDescent="0.3">
      <c r="B66" s="560">
        <v>8.3000000000000007</v>
      </c>
      <c r="C66" s="558"/>
      <c r="D66" s="1042" t="str">
        <f ca="1">' '!A256</f>
        <v>Eine Informatikunterstützung könnte unsere Leistung steigern</v>
      </c>
      <c r="E66" s="1042"/>
      <c r="G66" s="561"/>
      <c r="H66" s="561"/>
      <c r="I66" s="561"/>
      <c r="J66" s="561"/>
      <c r="K66" s="561"/>
      <c r="L66" s="561"/>
      <c r="M66" s="561"/>
      <c r="N66" s="561"/>
      <c r="O66" s="561"/>
      <c r="P66" s="561"/>
      <c r="Q66" s="561"/>
      <c r="R66" s="547"/>
      <c r="S66" s="562">
        <v>2</v>
      </c>
      <c r="T66" s="555"/>
      <c r="U66" s="556"/>
      <c r="V66" s="488"/>
      <c r="W66" s="488"/>
      <c r="X66" s="488"/>
      <c r="Y66" s="488"/>
      <c r="Z66" s="488"/>
    </row>
    <row r="67" spans="2:26" ht="31.5" customHeight="1" x14ac:dyDescent="0.3">
      <c r="B67" s="560">
        <v>8.4</v>
      </c>
      <c r="C67" s="558"/>
      <c r="D67" s="1042" t="str">
        <f ca="1">' '!A257</f>
        <v>Kernaktivitäten könnten gestört werden</v>
      </c>
      <c r="E67" s="1042"/>
      <c r="G67" s="561"/>
      <c r="H67" s="561"/>
      <c r="I67" s="561"/>
      <c r="J67" s="561"/>
      <c r="K67" s="561"/>
      <c r="L67" s="561"/>
      <c r="M67" s="561"/>
      <c r="N67" s="561"/>
      <c r="O67" s="561"/>
      <c r="P67" s="561"/>
      <c r="Q67" s="561"/>
      <c r="R67" s="547"/>
      <c r="S67" s="562">
        <v>6</v>
      </c>
      <c r="T67" s="555"/>
      <c r="U67" s="556"/>
      <c r="V67" s="488"/>
      <c r="W67" s="488"/>
      <c r="X67" s="488"/>
      <c r="Y67" s="488"/>
      <c r="Z67" s="488"/>
    </row>
    <row r="68" spans="2:26" ht="31.5" customHeight="1" x14ac:dyDescent="0.3">
      <c r="B68" s="560">
        <v>8.5</v>
      </c>
      <c r="C68" s="558"/>
      <c r="D68" s="1042" t="str">
        <f ca="1">' '!A258</f>
        <v>Die Qualität unserer Aktivitäten ist in Gefahr</v>
      </c>
      <c r="E68" s="1042"/>
      <c r="G68" s="561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47"/>
      <c r="S68" s="562">
        <v>7</v>
      </c>
      <c r="T68" s="555"/>
      <c r="U68" s="556"/>
      <c r="V68" s="488"/>
      <c r="W68" s="488"/>
      <c r="X68" s="488"/>
      <c r="Y68" s="488"/>
      <c r="Z68" s="488"/>
    </row>
    <row r="69" spans="2:26" ht="15.6" x14ac:dyDescent="0.3">
      <c r="B69" s="540">
        <v>9</v>
      </c>
      <c r="C69" s="541"/>
      <c r="D69" s="1040" t="s">
        <v>426</v>
      </c>
      <c r="E69" s="1040"/>
      <c r="G69" s="543"/>
      <c r="H69" s="543"/>
      <c r="I69" s="543"/>
      <c r="J69" s="543"/>
      <c r="K69" s="543"/>
      <c r="L69" s="543"/>
      <c r="M69" s="543"/>
      <c r="N69" s="544">
        <f>SUM(B193:B200)</f>
        <v>33</v>
      </c>
      <c r="O69" s="545" t="s">
        <v>419</v>
      </c>
      <c r="P69" s="544">
        <v>40</v>
      </c>
      <c r="Q69" s="546"/>
      <c r="R69" s="547"/>
      <c r="S69" s="548"/>
      <c r="T69" s="555"/>
      <c r="U69" s="556"/>
      <c r="V69" s="488"/>
      <c r="W69" s="488"/>
      <c r="X69" s="488"/>
      <c r="Y69" s="488"/>
      <c r="Z69" s="488"/>
    </row>
    <row r="70" spans="2:26" ht="31.5" customHeight="1" x14ac:dyDescent="0.3">
      <c r="B70" s="552">
        <v>9.1</v>
      </c>
      <c r="C70" s="116"/>
      <c r="D70" s="1035" t="str">
        <f ca="1">' '!A260</f>
        <v>Es bestehen Möglichkeiten zum Outsourcing</v>
      </c>
      <c r="E70" s="1035"/>
      <c r="G70" s="553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47"/>
      <c r="S70" s="554">
        <v>10</v>
      </c>
      <c r="T70" s="555"/>
      <c r="U70" s="556"/>
      <c r="V70" s="488"/>
      <c r="W70" s="488"/>
      <c r="X70" s="488"/>
      <c r="Y70" s="488"/>
      <c r="Z70" s="488"/>
    </row>
    <row r="71" spans="2:26" ht="31.5" customHeight="1" x14ac:dyDescent="0.3">
      <c r="B71" s="552">
        <v>9.1999999999999993</v>
      </c>
      <c r="C71" s="116"/>
      <c r="D71" s="1035" t="str">
        <f ca="1">' '!A261</f>
        <v>Eine verstärkte Zusammenarbeit mit unseren Partnern würde helfen, uns auf unser Kerngeschäft zu konzentrieren</v>
      </c>
      <c r="E71" s="1035"/>
      <c r="G71" s="553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47"/>
      <c r="S71" s="554">
        <v>7</v>
      </c>
      <c r="T71" s="555"/>
      <c r="U71" s="556"/>
      <c r="V71" s="488"/>
      <c r="W71" s="488"/>
      <c r="X71" s="488"/>
      <c r="Y71" s="488"/>
      <c r="Z71" s="488"/>
    </row>
    <row r="72" spans="2:26" ht="31.5" customHeight="1" x14ac:dyDescent="0.3">
      <c r="B72" s="552">
        <v>9.3000000000000007</v>
      </c>
      <c r="C72" s="116"/>
      <c r="D72" s="1035" t="str">
        <f ca="1">' '!A262</f>
        <v>Es bestehen Möglichkeiten Gegengeschäfte mit unseren Partnern zu tätigen</v>
      </c>
      <c r="E72" s="1035"/>
      <c r="G72" s="553"/>
      <c r="H72" s="553"/>
      <c r="I72" s="553"/>
      <c r="J72" s="553"/>
      <c r="K72" s="553"/>
      <c r="L72" s="553"/>
      <c r="M72" s="553"/>
      <c r="N72" s="553"/>
      <c r="O72" s="553"/>
      <c r="P72" s="553"/>
      <c r="Q72" s="553"/>
      <c r="R72" s="547"/>
      <c r="S72" s="554">
        <v>5</v>
      </c>
      <c r="T72" s="555"/>
      <c r="U72" s="556"/>
      <c r="V72" s="488"/>
      <c r="W72" s="488"/>
      <c r="X72" s="488"/>
      <c r="Y72" s="488"/>
      <c r="Z72" s="488"/>
    </row>
    <row r="73" spans="2:26" ht="31.5" customHeight="1" x14ac:dyDescent="0.3">
      <c r="B73" s="552">
        <v>9.4</v>
      </c>
      <c r="C73" s="116"/>
      <c r="D73" s="1035" t="str">
        <f ca="1">' '!A263</f>
        <v>Die Vertriebskanäle unserer Partner könnten uns helfen, zusätzliche Kunden zu erreichen</v>
      </c>
      <c r="E73" s="1035"/>
      <c r="G73" s="553"/>
      <c r="H73" s="553"/>
      <c r="I73" s="553"/>
      <c r="J73" s="553"/>
      <c r="K73" s="553"/>
      <c r="L73" s="553"/>
      <c r="M73" s="553"/>
      <c r="N73" s="553"/>
      <c r="O73" s="553"/>
      <c r="P73" s="553"/>
      <c r="Q73" s="553"/>
      <c r="R73" s="547"/>
      <c r="S73" s="554">
        <v>6</v>
      </c>
      <c r="T73" s="555"/>
      <c r="U73" s="556"/>
      <c r="V73" s="488"/>
      <c r="W73" s="488"/>
      <c r="X73" s="488"/>
      <c r="Y73" s="488"/>
      <c r="Z73" s="488"/>
    </row>
    <row r="74" spans="2:26" ht="31.5" customHeight="1" x14ac:dyDescent="0.3">
      <c r="B74" s="552">
        <v>9.5</v>
      </c>
      <c r="C74" s="116"/>
      <c r="D74" s="1035" t="str">
        <f ca="1">' '!A264</f>
        <v>Unsere Partner könnten unser Werteangebot (value proposition) vervollständigen</v>
      </c>
      <c r="E74" s="1035"/>
      <c r="G74" s="553"/>
      <c r="H74" s="553"/>
      <c r="I74" s="553"/>
      <c r="J74" s="553"/>
      <c r="K74" s="553"/>
      <c r="L74" s="553"/>
      <c r="M74" s="553"/>
      <c r="N74" s="553"/>
      <c r="O74" s="553"/>
      <c r="P74" s="553"/>
      <c r="Q74" s="553"/>
      <c r="R74" s="547"/>
      <c r="S74" s="554">
        <v>9</v>
      </c>
      <c r="T74" s="555"/>
      <c r="U74" s="556"/>
      <c r="V74" s="488"/>
      <c r="W74" s="488"/>
      <c r="X74" s="488"/>
      <c r="Y74" s="488"/>
      <c r="Z74" s="488"/>
    </row>
    <row r="75" spans="2:26" ht="31.5" customHeight="1" x14ac:dyDescent="0.3">
      <c r="B75" s="552">
        <v>9.6</v>
      </c>
      <c r="C75" s="116"/>
      <c r="D75" s="1035" t="str">
        <f ca="1">' '!A265</f>
        <v>Wir riskieren, Partner zu verlieren</v>
      </c>
      <c r="E75" s="1035"/>
      <c r="G75" s="553"/>
      <c r="H75" s="553"/>
      <c r="I75" s="553"/>
      <c r="J75" s="553"/>
      <c r="K75" s="553"/>
      <c r="L75" s="553"/>
      <c r="M75" s="553"/>
      <c r="N75" s="553"/>
      <c r="O75" s="553"/>
      <c r="P75" s="553"/>
      <c r="Q75" s="553"/>
      <c r="R75" s="547"/>
      <c r="S75" s="554">
        <v>6</v>
      </c>
      <c r="T75" s="555"/>
      <c r="U75" s="556"/>
      <c r="V75" s="488"/>
      <c r="W75" s="488"/>
      <c r="X75" s="488"/>
      <c r="Y75" s="488"/>
      <c r="Z75" s="488"/>
    </row>
    <row r="76" spans="2:26" ht="31.5" customHeight="1" x14ac:dyDescent="0.3">
      <c r="B76" s="552">
        <v>9.6999999999999993</v>
      </c>
      <c r="C76" s="116"/>
      <c r="D76" s="1035" t="str">
        <f ca="1">' '!A266</f>
        <v>Unser Partner könnten mit den Konkurrenten zusammenarbeiten</v>
      </c>
      <c r="E76" s="1035"/>
      <c r="G76" s="553"/>
      <c r="H76" s="553"/>
      <c r="I76" s="553"/>
      <c r="J76" s="553"/>
      <c r="K76" s="553"/>
      <c r="L76" s="553"/>
      <c r="M76" s="553"/>
      <c r="N76" s="553"/>
      <c r="O76" s="553"/>
      <c r="P76" s="553"/>
      <c r="Q76" s="553"/>
      <c r="R76" s="547"/>
      <c r="S76" s="554">
        <v>10</v>
      </c>
      <c r="T76" s="555"/>
      <c r="U76" s="556"/>
      <c r="V76" s="488"/>
      <c r="W76" s="488"/>
      <c r="X76" s="488"/>
      <c r="Y76" s="488"/>
      <c r="Z76" s="488"/>
    </row>
    <row r="77" spans="2:26" ht="31.5" customHeight="1" x14ac:dyDescent="0.3">
      <c r="B77" s="552">
        <v>9.8000000000000007</v>
      </c>
      <c r="C77" s="116"/>
      <c r="D77" s="1035" t="str">
        <f ca="1">' '!A267</f>
        <v>Wir sind von einigen Partnern zu stark abhängig</v>
      </c>
      <c r="E77" s="1035"/>
      <c r="G77" s="553"/>
      <c r="H77" s="553"/>
      <c r="I77" s="553"/>
      <c r="J77" s="553"/>
      <c r="K77" s="553"/>
      <c r="L77" s="553"/>
      <c r="M77" s="553"/>
      <c r="N77" s="553"/>
      <c r="O77" s="553"/>
      <c r="P77" s="553"/>
      <c r="Q77" s="553"/>
      <c r="R77" s="547"/>
      <c r="S77" s="554">
        <v>10</v>
      </c>
      <c r="T77" s="555"/>
      <c r="U77" s="556"/>
      <c r="V77" s="488"/>
      <c r="W77" s="488"/>
      <c r="X77" s="488"/>
      <c r="Y77" s="488"/>
      <c r="Z77" s="488"/>
    </row>
    <row r="78" spans="2:26" ht="5.25" customHeight="1" x14ac:dyDescent="0.3">
      <c r="B78" s="567"/>
      <c r="D78" s="1043"/>
      <c r="E78" s="1043"/>
      <c r="F78" s="1043"/>
      <c r="G78" s="1043"/>
      <c r="H78" s="1043"/>
      <c r="I78" s="1043"/>
      <c r="J78" s="1043"/>
      <c r="K78" s="1043"/>
      <c r="L78" s="1043"/>
      <c r="M78" s="1043"/>
      <c r="N78" s="1043"/>
      <c r="O78" s="1043"/>
      <c r="P78" s="1043"/>
      <c r="Q78" s="1043"/>
      <c r="R78" s="1043"/>
      <c r="S78" s="1043"/>
      <c r="T78" s="1043"/>
      <c r="U78" s="1043"/>
      <c r="V78" s="568"/>
      <c r="Z78" s="569"/>
    </row>
    <row r="79" spans="2:26" ht="13.5" customHeight="1" x14ac:dyDescent="0.3">
      <c r="B79" s="74" t="s">
        <v>2103</v>
      </c>
      <c r="C79" s="97"/>
      <c r="D79" s="570"/>
      <c r="E79" s="571"/>
      <c r="G79" s="572"/>
      <c r="H79" s="572"/>
      <c r="I79" s="572"/>
      <c r="J79" s="572"/>
      <c r="K79" s="572"/>
      <c r="L79" s="572"/>
      <c r="M79" s="572"/>
      <c r="N79" s="572"/>
      <c r="O79" s="572"/>
      <c r="P79" s="572"/>
      <c r="Q79" s="572"/>
      <c r="R79" s="573"/>
      <c r="V79" s="574"/>
      <c r="W79" s="575"/>
      <c r="X79" s="575"/>
      <c r="Z79" s="569"/>
    </row>
    <row r="80" spans="2:26" ht="8.25" customHeight="1" x14ac:dyDescent="0.3">
      <c r="B80" s="576"/>
      <c r="C80" s="576"/>
      <c r="D80" s="570"/>
      <c r="E80" s="570"/>
      <c r="G80" s="572"/>
      <c r="H80" s="572"/>
      <c r="I80" s="572"/>
      <c r="J80" s="572"/>
      <c r="K80" s="572"/>
      <c r="L80" s="572"/>
      <c r="M80" s="572"/>
      <c r="N80" s="572"/>
      <c r="O80" s="572"/>
      <c r="P80" s="572"/>
      <c r="Q80" s="572"/>
      <c r="R80" s="573"/>
      <c r="V80" s="574"/>
      <c r="W80" s="575"/>
      <c r="X80" s="575"/>
    </row>
    <row r="81" spans="2:25" ht="14.25" customHeight="1" x14ac:dyDescent="0.3">
      <c r="B81" s="576"/>
      <c r="C81" s="576"/>
      <c r="D81" s="570"/>
      <c r="E81" s="570"/>
      <c r="G81" s="572"/>
      <c r="H81" s="572"/>
      <c r="I81" s="572"/>
      <c r="J81" s="572"/>
      <c r="K81" s="572"/>
      <c r="L81" s="572"/>
      <c r="M81" s="572"/>
      <c r="N81" s="572"/>
      <c r="O81" s="572"/>
      <c r="P81" s="572"/>
      <c r="Q81" s="572"/>
      <c r="R81" s="573"/>
      <c r="V81" s="574"/>
      <c r="W81" s="575"/>
      <c r="X81" s="575"/>
    </row>
    <row r="82" spans="2:25" x14ac:dyDescent="0.3">
      <c r="B82" s="175" t="str">
        <f>D10</f>
        <v>CUSTOMER RELATIONSHIP</v>
      </c>
      <c r="C82" s="175">
        <f>5/P10*N10</f>
        <v>3.2857142857142856</v>
      </c>
      <c r="D82" s="1045"/>
      <c r="E82" s="1045"/>
      <c r="F82" s="1045"/>
      <c r="G82" s="1045"/>
      <c r="H82" s="1045"/>
      <c r="I82" s="1045"/>
      <c r="J82" s="1045"/>
      <c r="K82" s="1045"/>
      <c r="L82" s="1045"/>
      <c r="M82" s="1045"/>
      <c r="N82" s="1045"/>
      <c r="O82" s="1045"/>
      <c r="P82" s="1045"/>
      <c r="Q82" s="1045"/>
      <c r="R82" s="1045"/>
      <c r="S82" s="1045"/>
      <c r="T82" s="1045"/>
      <c r="U82" s="1045"/>
      <c r="V82" s="568"/>
    </row>
    <row r="83" spans="2:25" x14ac:dyDescent="0.3">
      <c r="B83" s="175" t="str">
        <f>D18</f>
        <v>REVENUE STREAMS</v>
      </c>
      <c r="C83" s="175">
        <f>5/P18*N18</f>
        <v>2.75</v>
      </c>
      <c r="D83" s="1045"/>
      <c r="E83" s="1045"/>
      <c r="F83" s="1045"/>
      <c r="G83" s="1045"/>
      <c r="H83" s="1045"/>
      <c r="I83" s="1045"/>
      <c r="J83" s="1045"/>
      <c r="K83" s="1045"/>
      <c r="L83" s="1045"/>
      <c r="M83" s="1045"/>
      <c r="N83" s="1045"/>
      <c r="O83" s="1045"/>
      <c r="P83" s="1045"/>
      <c r="Q83" s="1045"/>
      <c r="R83" s="1045"/>
      <c r="S83" s="1045"/>
      <c r="T83" s="1045"/>
      <c r="U83" s="1045"/>
      <c r="V83" s="568"/>
    </row>
    <row r="84" spans="2:25" x14ac:dyDescent="0.3">
      <c r="B84" s="175" t="str">
        <f>D27</f>
        <v>COST STRUCTURE</v>
      </c>
      <c r="C84" s="175">
        <f>5/P27*N27</f>
        <v>3</v>
      </c>
      <c r="D84" s="1045"/>
      <c r="E84" s="1045"/>
      <c r="F84" s="1045"/>
      <c r="G84" s="1045"/>
      <c r="H84" s="1045"/>
      <c r="I84" s="1045"/>
      <c r="J84" s="1045"/>
      <c r="K84" s="1045"/>
      <c r="L84" s="1045"/>
      <c r="M84" s="1045"/>
      <c r="N84" s="1045"/>
      <c r="O84" s="1045"/>
      <c r="P84" s="1045"/>
      <c r="Q84" s="1045"/>
      <c r="R84" s="1045"/>
      <c r="S84" s="1045"/>
      <c r="T84" s="1045"/>
      <c r="U84" s="1045"/>
      <c r="V84" s="568"/>
    </row>
    <row r="85" spans="2:25" x14ac:dyDescent="0.3">
      <c r="B85" s="175" t="str">
        <f>D31</f>
        <v>CUSTOMER SEGMENTS</v>
      </c>
      <c r="C85" s="175">
        <f>5/P31*N31</f>
        <v>3</v>
      </c>
      <c r="D85" s="1045"/>
      <c r="E85" s="1045"/>
      <c r="F85" s="1045"/>
      <c r="G85" s="1045"/>
      <c r="H85" s="1045"/>
      <c r="I85" s="1045"/>
      <c r="J85" s="1045"/>
      <c r="K85" s="1045"/>
      <c r="L85" s="1045"/>
      <c r="M85" s="1045"/>
      <c r="N85" s="1045"/>
      <c r="O85" s="1045"/>
      <c r="P85" s="1045"/>
      <c r="Q85" s="1045"/>
      <c r="R85" s="1045"/>
      <c r="S85" s="1045"/>
      <c r="T85" s="1045"/>
      <c r="U85" s="1045"/>
      <c r="V85" s="568"/>
    </row>
    <row r="86" spans="2:25" x14ac:dyDescent="0.3">
      <c r="B86" s="175" t="str">
        <f>D40</f>
        <v>CHANNELS</v>
      </c>
      <c r="C86" s="175">
        <f>5/P40*N40</f>
        <v>2.8571428571428568</v>
      </c>
      <c r="D86" s="1045"/>
      <c r="E86" s="1045"/>
      <c r="F86" s="1045"/>
      <c r="G86" s="1045"/>
      <c r="H86" s="1045"/>
      <c r="I86" s="1045"/>
      <c r="J86" s="1045"/>
      <c r="K86" s="1045"/>
      <c r="L86" s="1045"/>
      <c r="M86" s="1045"/>
      <c r="N86" s="1045"/>
      <c r="O86" s="1045"/>
      <c r="P86" s="1045"/>
      <c r="Q86" s="1045"/>
      <c r="R86" s="1045"/>
      <c r="S86" s="1045"/>
      <c r="T86" s="1045"/>
      <c r="U86" s="1045"/>
      <c r="V86" s="568"/>
    </row>
    <row r="87" spans="2:25" x14ac:dyDescent="0.3">
      <c r="B87" s="175" t="str">
        <f>D48</f>
        <v>CUSTOMER RELATIONSHIP</v>
      </c>
      <c r="C87" s="175">
        <f>5/40*23</f>
        <v>2.875</v>
      </c>
      <c r="D87" s="1045"/>
      <c r="E87" s="1045"/>
      <c r="F87" s="1045"/>
      <c r="G87" s="1045"/>
      <c r="H87" s="1045"/>
      <c r="I87" s="1045"/>
      <c r="J87" s="1045"/>
      <c r="K87" s="1045"/>
      <c r="L87" s="1045"/>
      <c r="M87" s="1045"/>
      <c r="N87" s="1045"/>
      <c r="O87" s="1045"/>
      <c r="P87" s="1045"/>
      <c r="Q87" s="1045"/>
      <c r="R87" s="1045"/>
      <c r="S87" s="1045"/>
      <c r="T87" s="1045"/>
      <c r="U87" s="1045"/>
      <c r="V87" s="568"/>
    </row>
    <row r="88" spans="2:25" x14ac:dyDescent="0.3">
      <c r="B88" s="175" t="str">
        <f>D56</f>
        <v>KEY RESSOURCES</v>
      </c>
      <c r="C88" s="175">
        <f>5/P56*N56</f>
        <v>2.833333333333333</v>
      </c>
      <c r="D88" s="1045"/>
      <c r="E88" s="1045"/>
      <c r="F88" s="1045"/>
      <c r="G88" s="1045"/>
      <c r="H88" s="1045"/>
      <c r="I88" s="1045"/>
      <c r="J88" s="1045"/>
      <c r="K88" s="1045"/>
      <c r="L88" s="1045"/>
      <c r="M88" s="1045"/>
      <c r="N88" s="1045"/>
      <c r="O88" s="1045"/>
      <c r="P88" s="1045"/>
      <c r="Q88" s="1045"/>
      <c r="R88" s="1045"/>
      <c r="S88" s="1045"/>
      <c r="T88" s="1045"/>
      <c r="U88" s="1045"/>
      <c r="V88" s="568"/>
    </row>
    <row r="89" spans="2:25" x14ac:dyDescent="0.3">
      <c r="B89" s="175" t="str">
        <f>D63</f>
        <v>KEY ACTIVITIES</v>
      </c>
      <c r="C89" s="175">
        <f>5/P63*N63</f>
        <v>3</v>
      </c>
      <c r="D89" s="1045"/>
      <c r="E89" s="1045"/>
      <c r="F89" s="1045"/>
      <c r="G89" s="1045"/>
      <c r="H89" s="1045"/>
      <c r="I89" s="1045"/>
      <c r="J89" s="1045"/>
      <c r="K89" s="1045"/>
      <c r="L89" s="1045"/>
      <c r="M89" s="1045"/>
      <c r="N89" s="1045"/>
      <c r="O89" s="1045"/>
      <c r="P89" s="1045"/>
      <c r="Q89" s="1045"/>
      <c r="R89" s="1045"/>
      <c r="S89" s="1045"/>
      <c r="T89" s="1045"/>
      <c r="U89" s="1045"/>
      <c r="V89" s="488"/>
      <c r="W89" s="488"/>
      <c r="X89" s="488"/>
      <c r="Y89" s="488"/>
    </row>
    <row r="90" spans="2:25" x14ac:dyDescent="0.3">
      <c r="B90" s="175" t="str">
        <f>D69</f>
        <v>KEY PARTNERSHIP</v>
      </c>
      <c r="C90" s="175">
        <f>5/P69*N69</f>
        <v>4.125</v>
      </c>
      <c r="D90" s="1045"/>
      <c r="E90" s="1045"/>
      <c r="F90" s="1045"/>
      <c r="G90" s="1045"/>
      <c r="H90" s="1045"/>
      <c r="I90" s="1045"/>
      <c r="J90" s="1045"/>
      <c r="K90" s="1045"/>
      <c r="L90" s="1045"/>
      <c r="M90" s="1045"/>
      <c r="N90" s="1045"/>
      <c r="O90" s="1045"/>
      <c r="P90" s="1045"/>
      <c r="Q90" s="1045"/>
      <c r="R90" s="1045"/>
      <c r="S90" s="1045"/>
      <c r="T90" s="1045"/>
      <c r="U90" s="1045"/>
      <c r="V90" s="488"/>
      <c r="W90" s="488"/>
      <c r="X90" s="488"/>
      <c r="Y90" s="488"/>
    </row>
    <row r="91" spans="2:25" x14ac:dyDescent="0.3">
      <c r="B91" s="577"/>
      <c r="C91" s="172"/>
      <c r="D91" s="1043"/>
      <c r="E91" s="1043"/>
      <c r="F91" s="1043"/>
      <c r="G91" s="1043"/>
      <c r="H91" s="1043"/>
      <c r="I91" s="1043"/>
      <c r="J91" s="1043"/>
      <c r="K91" s="1043"/>
      <c r="L91" s="1043"/>
      <c r="M91" s="1043"/>
      <c r="N91" s="1043"/>
      <c r="O91" s="1043"/>
      <c r="P91" s="1043"/>
      <c r="Q91" s="1043"/>
      <c r="R91" s="1043"/>
      <c r="S91" s="1043"/>
      <c r="T91" s="1043"/>
      <c r="U91" s="1043"/>
      <c r="V91" s="488"/>
      <c r="W91" s="488"/>
      <c r="X91" s="488"/>
      <c r="Y91" s="488"/>
    </row>
    <row r="92" spans="2:25" x14ac:dyDescent="0.3">
      <c r="B92" s="577"/>
      <c r="C92" s="172"/>
      <c r="D92" s="1043"/>
      <c r="E92" s="1043"/>
      <c r="F92" s="1043"/>
      <c r="G92" s="1043"/>
      <c r="H92" s="1043"/>
      <c r="I92" s="1043"/>
      <c r="J92" s="1043"/>
      <c r="K92" s="1043"/>
      <c r="L92" s="1043"/>
      <c r="M92" s="1043"/>
      <c r="N92" s="1043"/>
      <c r="O92" s="1043"/>
      <c r="P92" s="1043"/>
      <c r="Q92" s="1043"/>
      <c r="R92" s="1043"/>
      <c r="S92" s="1043"/>
      <c r="T92" s="1043"/>
      <c r="U92" s="1043"/>
      <c r="V92" s="488"/>
      <c r="W92" s="488"/>
      <c r="X92" s="488"/>
      <c r="Y92" s="488"/>
    </row>
    <row r="93" spans="2:25" x14ac:dyDescent="0.3">
      <c r="B93" s="577"/>
      <c r="C93" s="172"/>
      <c r="D93" s="1043"/>
      <c r="E93" s="1043"/>
      <c r="F93" s="1043"/>
      <c r="G93" s="1043"/>
      <c r="H93" s="1043"/>
      <c r="I93" s="1043"/>
      <c r="J93" s="1043"/>
      <c r="K93" s="1043"/>
      <c r="L93" s="1043"/>
      <c r="M93" s="1043"/>
      <c r="N93" s="1043"/>
      <c r="O93" s="1043"/>
      <c r="P93" s="1043"/>
      <c r="Q93" s="1043"/>
      <c r="R93" s="1043"/>
      <c r="S93" s="1043"/>
      <c r="T93" s="1043"/>
      <c r="U93" s="1043"/>
      <c r="V93" s="488"/>
      <c r="W93" s="488"/>
      <c r="X93" s="488"/>
      <c r="Y93" s="488"/>
    </row>
    <row r="94" spans="2:25" x14ac:dyDescent="0.3">
      <c r="B94" s="577"/>
      <c r="C94" s="172"/>
      <c r="D94" s="1043"/>
      <c r="E94" s="1043"/>
      <c r="F94" s="1043"/>
      <c r="G94" s="1043"/>
      <c r="H94" s="1043"/>
      <c r="I94" s="1043"/>
      <c r="J94" s="1043"/>
      <c r="K94" s="1043"/>
      <c r="L94" s="1043"/>
      <c r="M94" s="1043"/>
      <c r="N94" s="1043"/>
      <c r="O94" s="1043"/>
      <c r="P94" s="1043"/>
      <c r="Q94" s="1043"/>
      <c r="R94" s="1043"/>
      <c r="S94" s="1043"/>
      <c r="T94" s="1043"/>
      <c r="U94" s="1043"/>
      <c r="V94" s="488"/>
      <c r="W94" s="488"/>
      <c r="X94" s="488"/>
      <c r="Y94" s="488"/>
    </row>
    <row r="95" spans="2:25" x14ac:dyDescent="0.3">
      <c r="B95" s="175"/>
      <c r="C95" s="172"/>
    </row>
    <row r="96" spans="2:25" x14ac:dyDescent="0.3">
      <c r="B96" s="175"/>
      <c r="C96" s="172"/>
    </row>
    <row r="116" spans="1:27" ht="0.9" customHeight="1" x14ac:dyDescent="0.3">
      <c r="A116" s="535"/>
    </row>
    <row r="117" spans="1:27" x14ac:dyDescent="0.3">
      <c r="B117" s="578"/>
      <c r="Z117" s="579"/>
      <c r="AA117" s="580"/>
    </row>
    <row r="118" spans="1:27" x14ac:dyDescent="0.3">
      <c r="Z118" s="579"/>
      <c r="AA118" s="580"/>
    </row>
    <row r="119" spans="1:27" x14ac:dyDescent="0.3">
      <c r="Z119" s="579"/>
      <c r="AA119" s="580"/>
    </row>
    <row r="120" spans="1:27" x14ac:dyDescent="0.3">
      <c r="Z120" s="579"/>
      <c r="AA120" s="580"/>
    </row>
    <row r="121" spans="1:27" x14ac:dyDescent="0.3">
      <c r="Z121" s="579"/>
      <c r="AA121" s="580"/>
    </row>
    <row r="122" spans="1:27" x14ac:dyDescent="0.3">
      <c r="Z122" s="579"/>
      <c r="AA122" s="580"/>
    </row>
    <row r="123" spans="1:27" x14ac:dyDescent="0.3">
      <c r="Z123" s="579"/>
      <c r="AA123" s="580"/>
    </row>
    <row r="124" spans="1:27" x14ac:dyDescent="0.3">
      <c r="Z124" s="579"/>
      <c r="AA124" s="580"/>
    </row>
    <row r="125" spans="1:27" x14ac:dyDescent="0.3">
      <c r="A125" s="568"/>
      <c r="B125" s="539"/>
      <c r="C125" s="539"/>
      <c r="D125" s="172"/>
      <c r="Z125" s="579"/>
      <c r="AA125" s="580"/>
    </row>
    <row r="126" spans="1:27" x14ac:dyDescent="0.3">
      <c r="Z126" s="579"/>
      <c r="AA126" s="580"/>
    </row>
    <row r="127" spans="1:27" x14ac:dyDescent="0.3">
      <c r="Z127" s="579"/>
      <c r="AA127" s="580"/>
    </row>
    <row r="128" spans="1:27" x14ac:dyDescent="0.3">
      <c r="Z128" s="579"/>
      <c r="AA128" s="580"/>
    </row>
    <row r="129" spans="1:27" x14ac:dyDescent="0.3">
      <c r="Z129" s="579"/>
      <c r="AA129" s="580"/>
    </row>
    <row r="130" spans="1:27" x14ac:dyDescent="0.3">
      <c r="A130" s="581">
        <f>A133/590</f>
        <v>0.61016949152542377</v>
      </c>
      <c r="B130" s="582">
        <f>(B133/205)</f>
        <v>0.6</v>
      </c>
      <c r="C130" s="582" t="s">
        <v>427</v>
      </c>
      <c r="D130" s="582">
        <f>(D133/2950)</f>
        <v>0.38677966101694916</v>
      </c>
      <c r="E130" s="583"/>
      <c r="F130" s="584"/>
      <c r="G130" s="583"/>
      <c r="H130" s="583"/>
      <c r="I130" s="585"/>
      <c r="Z130" s="579"/>
      <c r="AA130" s="580"/>
    </row>
    <row r="131" spans="1:27" x14ac:dyDescent="0.3">
      <c r="A131" s="586"/>
      <c r="B131" s="587"/>
      <c r="C131" s="587"/>
      <c r="D131" s="587"/>
      <c r="E131" s="588"/>
      <c r="F131" s="579"/>
      <c r="G131" s="588"/>
      <c r="H131" s="588"/>
      <c r="I131" s="589"/>
      <c r="Z131" s="579"/>
      <c r="AA131" s="580"/>
    </row>
    <row r="132" spans="1:27" x14ac:dyDescent="0.3">
      <c r="A132" s="590"/>
      <c r="B132" s="591"/>
      <c r="C132" s="579"/>
      <c r="D132" s="579"/>
      <c r="E132" s="588"/>
      <c r="F132" s="579"/>
      <c r="G132" s="588"/>
      <c r="H132" s="588"/>
      <c r="I132" s="589"/>
      <c r="Z132" s="579"/>
      <c r="AA132" s="580"/>
    </row>
    <row r="133" spans="1:27" x14ac:dyDescent="0.3">
      <c r="A133" s="586">
        <f>SUM(A134:A200)</f>
        <v>360</v>
      </c>
      <c r="B133" s="587">
        <f>SUM(B134:B180)</f>
        <v>123</v>
      </c>
      <c r="C133" s="587"/>
      <c r="D133" s="587">
        <f>SUM(D134:D200)</f>
        <v>1141</v>
      </c>
      <c r="E133" s="579"/>
      <c r="F133" s="579" t="s">
        <v>428</v>
      </c>
      <c r="G133" s="588"/>
      <c r="H133" s="588"/>
      <c r="I133" s="589"/>
      <c r="Z133" s="579"/>
      <c r="AA133" s="580"/>
    </row>
    <row r="134" spans="1:27" x14ac:dyDescent="0.3">
      <c r="A134" s="586">
        <f t="shared" ref="A134:A140" si="0">S11</f>
        <v>9</v>
      </c>
      <c r="B134" s="587">
        <v>2</v>
      </c>
      <c r="C134" s="587">
        <v>1</v>
      </c>
      <c r="D134" s="587">
        <f t="shared" ref="D134:D140" si="1">B134*S11</f>
        <v>18</v>
      </c>
      <c r="E134" s="588">
        <v>1</v>
      </c>
      <c r="F134" s="588">
        <f>COUNTIF(B134:B200,1)</f>
        <v>5</v>
      </c>
      <c r="G134" s="588"/>
      <c r="H134" s="588"/>
      <c r="I134" s="589"/>
      <c r="Z134" s="579"/>
      <c r="AA134" s="580"/>
    </row>
    <row r="135" spans="1:27" x14ac:dyDescent="0.3">
      <c r="A135" s="586">
        <f t="shared" si="0"/>
        <v>8</v>
      </c>
      <c r="B135" s="587">
        <v>3</v>
      </c>
      <c r="C135" s="587">
        <v>1</v>
      </c>
      <c r="D135" s="587">
        <f t="shared" si="1"/>
        <v>24</v>
      </c>
      <c r="E135" s="588">
        <v>2</v>
      </c>
      <c r="F135" s="588">
        <f>COUNTIF(B134:B200,2)</f>
        <v>17</v>
      </c>
      <c r="G135" s="588"/>
      <c r="H135" s="588"/>
      <c r="I135" s="589"/>
      <c r="Z135" s="579"/>
      <c r="AA135" s="580"/>
    </row>
    <row r="136" spans="1:27" x14ac:dyDescent="0.3">
      <c r="A136" s="586">
        <f t="shared" si="0"/>
        <v>7</v>
      </c>
      <c r="B136" s="587">
        <v>4</v>
      </c>
      <c r="C136" s="587">
        <v>1</v>
      </c>
      <c r="D136" s="587">
        <f t="shared" si="1"/>
        <v>28</v>
      </c>
      <c r="E136" s="588">
        <v>3</v>
      </c>
      <c r="F136" s="588">
        <f>COUNTIF(B134:B200,3)</f>
        <v>15</v>
      </c>
      <c r="G136" s="588"/>
      <c r="H136" s="588"/>
      <c r="I136" s="589"/>
      <c r="Z136" s="579"/>
      <c r="AA136" s="580"/>
    </row>
    <row r="137" spans="1:27" x14ac:dyDescent="0.3">
      <c r="A137" s="586">
        <f t="shared" si="0"/>
        <v>6</v>
      </c>
      <c r="B137" s="587">
        <v>4</v>
      </c>
      <c r="C137" s="587">
        <v>1</v>
      </c>
      <c r="D137" s="587">
        <f t="shared" si="1"/>
        <v>24</v>
      </c>
      <c r="E137" s="588">
        <v>4</v>
      </c>
      <c r="F137" s="588">
        <f>COUNTIF(B134:B200,4)</f>
        <v>11</v>
      </c>
      <c r="G137" s="588"/>
      <c r="H137" s="588"/>
      <c r="I137" s="589"/>
      <c r="Z137" s="579"/>
      <c r="AA137" s="580"/>
    </row>
    <row r="138" spans="1:27" x14ac:dyDescent="0.3">
      <c r="A138" s="586">
        <f t="shared" si="0"/>
        <v>4</v>
      </c>
      <c r="B138" s="587">
        <v>3</v>
      </c>
      <c r="C138" s="587">
        <v>1</v>
      </c>
      <c r="D138" s="587">
        <f t="shared" si="1"/>
        <v>12</v>
      </c>
      <c r="E138" s="588">
        <v>5</v>
      </c>
      <c r="F138" s="588">
        <f>COUNTIF(B134:B200,5)</f>
        <v>11</v>
      </c>
      <c r="G138" s="588"/>
      <c r="H138" s="588"/>
      <c r="I138" s="589"/>
      <c r="Z138" s="579"/>
      <c r="AA138" s="580"/>
    </row>
    <row r="139" spans="1:27" x14ac:dyDescent="0.3">
      <c r="A139" s="586">
        <f t="shared" si="0"/>
        <v>3</v>
      </c>
      <c r="B139" s="587">
        <v>2</v>
      </c>
      <c r="C139" s="587">
        <v>1</v>
      </c>
      <c r="D139" s="587">
        <f t="shared" si="1"/>
        <v>6</v>
      </c>
      <c r="E139" s="588"/>
      <c r="F139" s="579"/>
      <c r="G139" s="588"/>
      <c r="H139" s="588"/>
      <c r="I139" s="589"/>
      <c r="Z139" s="579"/>
      <c r="AA139" s="580"/>
    </row>
    <row r="140" spans="1:27" x14ac:dyDescent="0.3">
      <c r="A140" s="586">
        <f t="shared" si="0"/>
        <v>3</v>
      </c>
      <c r="B140" s="587">
        <v>5</v>
      </c>
      <c r="C140" s="587">
        <v>1</v>
      </c>
      <c r="D140" s="587">
        <f t="shared" si="1"/>
        <v>15</v>
      </c>
      <c r="E140" s="588"/>
      <c r="F140" s="579"/>
      <c r="G140" s="588"/>
      <c r="H140" s="588"/>
      <c r="I140" s="589"/>
      <c r="Z140" s="579"/>
      <c r="AA140" s="580"/>
    </row>
    <row r="141" spans="1:27" x14ac:dyDescent="0.3">
      <c r="A141" s="586"/>
      <c r="B141" s="587"/>
      <c r="C141" s="587"/>
      <c r="D141" s="587"/>
      <c r="E141" s="588"/>
      <c r="F141" s="579"/>
      <c r="G141" s="588"/>
      <c r="H141" s="588"/>
      <c r="I141" s="589"/>
      <c r="V141" s="579"/>
      <c r="W141" s="591"/>
      <c r="X141" s="591"/>
      <c r="Y141" s="579"/>
      <c r="Z141" s="579"/>
      <c r="AA141" s="580"/>
    </row>
    <row r="142" spans="1:27" x14ac:dyDescent="0.3">
      <c r="A142" s="586">
        <f t="shared" ref="A142:A149" si="2">S19</f>
        <v>10</v>
      </c>
      <c r="B142" s="587">
        <v>1</v>
      </c>
      <c r="C142" s="587">
        <v>1</v>
      </c>
      <c r="D142" s="587">
        <f t="shared" ref="D142:D149" si="3">B142*S19</f>
        <v>10</v>
      </c>
      <c r="E142" s="588"/>
      <c r="F142" s="579"/>
      <c r="G142" s="588"/>
      <c r="H142" s="588"/>
      <c r="I142" s="589"/>
    </row>
    <row r="143" spans="1:27" x14ac:dyDescent="0.3">
      <c r="A143" s="586">
        <f t="shared" si="2"/>
        <v>9</v>
      </c>
      <c r="B143" s="587">
        <v>2</v>
      </c>
      <c r="C143" s="587">
        <v>1</v>
      </c>
      <c r="D143" s="587">
        <f t="shared" si="3"/>
        <v>18</v>
      </c>
      <c r="E143" s="588"/>
      <c r="F143" s="579"/>
      <c r="G143" s="588"/>
      <c r="H143" s="588"/>
      <c r="I143" s="589"/>
    </row>
    <row r="144" spans="1:27" x14ac:dyDescent="0.3">
      <c r="A144" s="586">
        <f t="shared" si="2"/>
        <v>8</v>
      </c>
      <c r="B144" s="587">
        <v>3</v>
      </c>
      <c r="C144" s="587">
        <v>1</v>
      </c>
      <c r="D144" s="587">
        <f t="shared" si="3"/>
        <v>24</v>
      </c>
      <c r="E144" s="588"/>
      <c r="F144" s="579"/>
      <c r="G144" s="588"/>
      <c r="H144" s="588"/>
      <c r="I144" s="589"/>
    </row>
    <row r="145" spans="1:9" x14ac:dyDescent="0.3">
      <c r="A145" s="586">
        <f t="shared" si="2"/>
        <v>7</v>
      </c>
      <c r="B145" s="587">
        <v>2</v>
      </c>
      <c r="C145" s="587">
        <v>1</v>
      </c>
      <c r="D145" s="587">
        <f t="shared" si="3"/>
        <v>14</v>
      </c>
      <c r="E145" s="588"/>
      <c r="F145" s="579"/>
      <c r="G145" s="588"/>
      <c r="H145" s="588"/>
      <c r="I145" s="589"/>
    </row>
    <row r="146" spans="1:9" x14ac:dyDescent="0.3">
      <c r="A146" s="586">
        <f t="shared" si="2"/>
        <v>6</v>
      </c>
      <c r="B146" s="587">
        <v>5</v>
      </c>
      <c r="C146" s="587">
        <v>1</v>
      </c>
      <c r="D146" s="587">
        <f t="shared" si="3"/>
        <v>30</v>
      </c>
      <c r="E146" s="588"/>
      <c r="F146" s="579"/>
      <c r="G146" s="588"/>
      <c r="H146" s="588"/>
      <c r="I146" s="589"/>
    </row>
    <row r="147" spans="1:9" x14ac:dyDescent="0.3">
      <c r="A147" s="586">
        <f t="shared" si="2"/>
        <v>5</v>
      </c>
      <c r="B147" s="587">
        <v>4</v>
      </c>
      <c r="C147" s="587">
        <v>1</v>
      </c>
      <c r="D147" s="587">
        <f t="shared" si="3"/>
        <v>20</v>
      </c>
      <c r="E147" s="588"/>
      <c r="F147" s="579"/>
      <c r="G147" s="588"/>
      <c r="H147" s="588"/>
      <c r="I147" s="589"/>
    </row>
    <row r="148" spans="1:9" x14ac:dyDescent="0.3">
      <c r="A148" s="586">
        <f t="shared" si="2"/>
        <v>4</v>
      </c>
      <c r="B148" s="587">
        <v>3</v>
      </c>
      <c r="C148" s="587">
        <v>1</v>
      </c>
      <c r="D148" s="587">
        <f t="shared" si="3"/>
        <v>12</v>
      </c>
      <c r="E148" s="588"/>
      <c r="F148" s="579"/>
      <c r="G148" s="588"/>
      <c r="H148" s="588"/>
      <c r="I148" s="589"/>
    </row>
    <row r="149" spans="1:9" x14ac:dyDescent="0.3">
      <c r="A149" s="586">
        <f t="shared" si="2"/>
        <v>3</v>
      </c>
      <c r="B149" s="587">
        <v>2</v>
      </c>
      <c r="C149" s="587">
        <v>1</v>
      </c>
      <c r="D149" s="587">
        <f t="shared" si="3"/>
        <v>6</v>
      </c>
      <c r="E149" s="588"/>
      <c r="F149" s="579"/>
      <c r="G149" s="588"/>
      <c r="H149" s="588"/>
      <c r="I149" s="589"/>
    </row>
    <row r="150" spans="1:9" x14ac:dyDescent="0.3">
      <c r="A150" s="586"/>
      <c r="B150" s="587"/>
      <c r="C150" s="587"/>
      <c r="D150" s="587"/>
      <c r="E150" s="588"/>
      <c r="F150" s="579"/>
      <c r="G150" s="588"/>
      <c r="H150" s="588"/>
      <c r="I150" s="589"/>
    </row>
    <row r="151" spans="1:9" x14ac:dyDescent="0.3">
      <c r="A151" s="586">
        <f>S28</f>
        <v>10</v>
      </c>
      <c r="B151" s="587">
        <v>3</v>
      </c>
      <c r="C151" s="587">
        <v>1</v>
      </c>
      <c r="D151" s="587">
        <f>B151*S28</f>
        <v>30</v>
      </c>
      <c r="E151" s="588"/>
      <c r="F151" s="579"/>
      <c r="G151" s="588"/>
      <c r="H151" s="588"/>
      <c r="I151" s="589"/>
    </row>
    <row r="152" spans="1:9" x14ac:dyDescent="0.3">
      <c r="A152" s="586">
        <f>S29</f>
        <v>4</v>
      </c>
      <c r="B152" s="587">
        <v>4</v>
      </c>
      <c r="C152" s="587">
        <v>1</v>
      </c>
      <c r="D152" s="587">
        <f>B152*S29</f>
        <v>16</v>
      </c>
      <c r="E152" s="588"/>
      <c r="F152" s="579"/>
      <c r="G152" s="588"/>
      <c r="H152" s="588"/>
      <c r="I152" s="589"/>
    </row>
    <row r="153" spans="1:9" x14ac:dyDescent="0.3">
      <c r="A153" s="586">
        <f>S30</f>
        <v>10</v>
      </c>
      <c r="B153" s="587">
        <v>2</v>
      </c>
      <c r="C153" s="587">
        <v>1</v>
      </c>
      <c r="D153" s="587">
        <f>B153*S30</f>
        <v>20</v>
      </c>
      <c r="E153" s="588"/>
      <c r="F153" s="579"/>
      <c r="G153" s="588"/>
      <c r="H153" s="588"/>
      <c r="I153" s="589"/>
    </row>
    <row r="154" spans="1:9" x14ac:dyDescent="0.3">
      <c r="A154" s="586"/>
      <c r="B154" s="587"/>
      <c r="C154" s="587"/>
      <c r="D154" s="587"/>
      <c r="E154" s="588"/>
      <c r="F154" s="579"/>
      <c r="G154" s="588"/>
      <c r="H154" s="588"/>
      <c r="I154" s="589"/>
    </row>
    <row r="155" spans="1:9" x14ac:dyDescent="0.3">
      <c r="A155" s="586">
        <f t="shared" ref="A155:A162" si="4">S32</f>
        <v>10</v>
      </c>
      <c r="B155" s="587">
        <v>5</v>
      </c>
      <c r="C155" s="587">
        <v>1</v>
      </c>
      <c r="D155" s="587">
        <f t="shared" ref="D155:D162" si="5">B155*S32</f>
        <v>50</v>
      </c>
      <c r="E155" s="588"/>
      <c r="F155" s="579"/>
      <c r="G155" s="588"/>
      <c r="H155" s="588"/>
      <c r="I155" s="589"/>
    </row>
    <row r="156" spans="1:9" x14ac:dyDescent="0.3">
      <c r="A156" s="586">
        <f t="shared" si="4"/>
        <v>9</v>
      </c>
      <c r="B156" s="587">
        <v>4</v>
      </c>
      <c r="C156" s="587">
        <v>1</v>
      </c>
      <c r="D156" s="587">
        <f t="shared" si="5"/>
        <v>36</v>
      </c>
      <c r="E156" s="588"/>
      <c r="F156" s="579"/>
      <c r="G156" s="588"/>
      <c r="H156" s="588"/>
      <c r="I156" s="589"/>
    </row>
    <row r="157" spans="1:9" x14ac:dyDescent="0.3">
      <c r="A157" s="586">
        <f t="shared" si="4"/>
        <v>8</v>
      </c>
      <c r="B157" s="587">
        <v>3</v>
      </c>
      <c r="C157" s="587">
        <v>1</v>
      </c>
      <c r="D157" s="587">
        <f t="shared" si="5"/>
        <v>24</v>
      </c>
      <c r="E157" s="588"/>
      <c r="F157" s="579"/>
      <c r="G157" s="588"/>
      <c r="H157" s="588"/>
      <c r="I157" s="589"/>
    </row>
    <row r="158" spans="1:9" x14ac:dyDescent="0.3">
      <c r="A158" s="586">
        <f t="shared" si="4"/>
        <v>7</v>
      </c>
      <c r="B158" s="587">
        <v>2</v>
      </c>
      <c r="C158" s="587">
        <v>1</v>
      </c>
      <c r="D158" s="587">
        <f t="shared" si="5"/>
        <v>14</v>
      </c>
      <c r="E158" s="588"/>
      <c r="F158" s="579"/>
      <c r="G158" s="588"/>
      <c r="H158" s="588"/>
      <c r="I158" s="589"/>
    </row>
    <row r="159" spans="1:9" x14ac:dyDescent="0.3">
      <c r="A159" s="586">
        <f t="shared" si="4"/>
        <v>6</v>
      </c>
      <c r="B159" s="587">
        <v>1</v>
      </c>
      <c r="C159" s="587">
        <v>1</v>
      </c>
      <c r="D159" s="587">
        <f t="shared" si="5"/>
        <v>6</v>
      </c>
      <c r="E159" s="588"/>
      <c r="F159" s="579"/>
      <c r="G159" s="588"/>
      <c r="H159" s="588"/>
      <c r="I159" s="589"/>
    </row>
    <row r="160" spans="1:9" x14ac:dyDescent="0.3">
      <c r="A160" s="586">
        <f t="shared" si="4"/>
        <v>5</v>
      </c>
      <c r="B160" s="587">
        <v>2</v>
      </c>
      <c r="C160" s="587">
        <v>1</v>
      </c>
      <c r="D160" s="587">
        <f t="shared" si="5"/>
        <v>10</v>
      </c>
      <c r="E160" s="588"/>
      <c r="F160" s="579"/>
      <c r="G160" s="588"/>
      <c r="H160" s="588"/>
      <c r="I160" s="589"/>
    </row>
    <row r="161" spans="1:9" x14ac:dyDescent="0.3">
      <c r="A161" s="586">
        <f t="shared" si="4"/>
        <v>4</v>
      </c>
      <c r="B161" s="587">
        <v>3</v>
      </c>
      <c r="C161" s="587">
        <v>1</v>
      </c>
      <c r="D161" s="587">
        <f t="shared" si="5"/>
        <v>12</v>
      </c>
      <c r="E161" s="588"/>
      <c r="F161" s="579"/>
      <c r="G161" s="588"/>
      <c r="H161" s="588"/>
      <c r="I161" s="589"/>
    </row>
    <row r="162" spans="1:9" x14ac:dyDescent="0.3">
      <c r="A162" s="586">
        <f t="shared" si="4"/>
        <v>3</v>
      </c>
      <c r="B162" s="587">
        <v>4</v>
      </c>
      <c r="C162" s="587">
        <v>1</v>
      </c>
      <c r="D162" s="587">
        <f t="shared" si="5"/>
        <v>12</v>
      </c>
      <c r="E162" s="588"/>
      <c r="F162" s="579"/>
      <c r="G162" s="588"/>
      <c r="H162" s="588"/>
      <c r="I162" s="589"/>
    </row>
    <row r="163" spans="1:9" x14ac:dyDescent="0.3">
      <c r="A163" s="586"/>
      <c r="B163" s="587"/>
      <c r="C163" s="587"/>
      <c r="D163" s="587"/>
      <c r="E163" s="588"/>
      <c r="F163" s="579"/>
      <c r="G163" s="588"/>
      <c r="H163" s="588"/>
      <c r="I163" s="589"/>
    </row>
    <row r="164" spans="1:9" x14ac:dyDescent="0.3">
      <c r="A164" s="586">
        <f t="shared" ref="A164:A170" si="6">S41</f>
        <v>1</v>
      </c>
      <c r="B164" s="587">
        <v>5</v>
      </c>
      <c r="C164" s="587">
        <v>1</v>
      </c>
      <c r="D164" s="587">
        <f t="shared" ref="D164:D170" si="7">B164*S41</f>
        <v>5</v>
      </c>
      <c r="E164" s="588"/>
      <c r="F164" s="579"/>
      <c r="G164" s="588"/>
      <c r="H164" s="588"/>
      <c r="I164" s="589"/>
    </row>
    <row r="165" spans="1:9" x14ac:dyDescent="0.3">
      <c r="A165" s="586">
        <f t="shared" si="6"/>
        <v>2</v>
      </c>
      <c r="B165" s="587">
        <v>4</v>
      </c>
      <c r="C165" s="587">
        <v>1</v>
      </c>
      <c r="D165" s="587">
        <f t="shared" si="7"/>
        <v>8</v>
      </c>
      <c r="E165" s="588"/>
      <c r="F165" s="579"/>
      <c r="G165" s="588"/>
      <c r="H165" s="588"/>
      <c r="I165" s="589"/>
    </row>
    <row r="166" spans="1:9" x14ac:dyDescent="0.3">
      <c r="A166" s="586">
        <f t="shared" si="6"/>
        <v>3</v>
      </c>
      <c r="B166" s="587">
        <v>3</v>
      </c>
      <c r="C166" s="587">
        <v>1</v>
      </c>
      <c r="D166" s="587">
        <f t="shared" si="7"/>
        <v>9</v>
      </c>
      <c r="E166" s="588"/>
      <c r="F166" s="579"/>
      <c r="G166" s="588"/>
      <c r="H166" s="588"/>
      <c r="I166" s="589"/>
    </row>
    <row r="167" spans="1:9" x14ac:dyDescent="0.3">
      <c r="A167" s="586">
        <f t="shared" si="6"/>
        <v>4</v>
      </c>
      <c r="B167" s="587">
        <v>2</v>
      </c>
      <c r="C167" s="587">
        <v>1</v>
      </c>
      <c r="D167" s="587">
        <f t="shared" si="7"/>
        <v>8</v>
      </c>
      <c r="E167" s="588"/>
      <c r="F167" s="579"/>
      <c r="G167" s="588"/>
      <c r="H167" s="588"/>
      <c r="I167" s="589"/>
    </row>
    <row r="168" spans="1:9" x14ac:dyDescent="0.3">
      <c r="A168" s="586">
        <f t="shared" si="6"/>
        <v>5</v>
      </c>
      <c r="B168" s="587">
        <v>1</v>
      </c>
      <c r="C168" s="587">
        <v>1</v>
      </c>
      <c r="D168" s="587">
        <f t="shared" si="7"/>
        <v>5</v>
      </c>
      <c r="E168" s="588"/>
      <c r="F168" s="579"/>
      <c r="G168" s="588"/>
      <c r="H168" s="588"/>
      <c r="I168" s="589"/>
    </row>
    <row r="169" spans="1:9" x14ac:dyDescent="0.3">
      <c r="A169" s="586">
        <f t="shared" si="6"/>
        <v>6</v>
      </c>
      <c r="B169" s="587">
        <v>2</v>
      </c>
      <c r="C169" s="587">
        <v>1</v>
      </c>
      <c r="D169" s="587">
        <f t="shared" si="7"/>
        <v>12</v>
      </c>
      <c r="E169" s="588"/>
      <c r="F169" s="579"/>
      <c r="G169" s="588"/>
      <c r="H169" s="588"/>
      <c r="I169" s="589"/>
    </row>
    <row r="170" spans="1:9" x14ac:dyDescent="0.3">
      <c r="A170" s="586">
        <f t="shared" si="6"/>
        <v>7</v>
      </c>
      <c r="B170" s="587">
        <v>3</v>
      </c>
      <c r="C170" s="587">
        <v>1</v>
      </c>
      <c r="D170" s="587">
        <f t="shared" si="7"/>
        <v>21</v>
      </c>
      <c r="E170" s="588"/>
      <c r="F170" s="579"/>
      <c r="G170" s="588"/>
      <c r="H170" s="588"/>
      <c r="I170" s="589"/>
    </row>
    <row r="171" spans="1:9" x14ac:dyDescent="0.3">
      <c r="A171" s="586"/>
      <c r="B171" s="587"/>
      <c r="C171" s="587"/>
      <c r="D171" s="587"/>
      <c r="E171" s="588"/>
      <c r="F171" s="579"/>
      <c r="G171" s="588"/>
      <c r="H171" s="588"/>
      <c r="I171" s="589"/>
    </row>
    <row r="172" spans="1:9" x14ac:dyDescent="0.3">
      <c r="A172" s="586">
        <f t="shared" ref="A172:A178" si="8">S49</f>
        <v>8</v>
      </c>
      <c r="B172" s="587">
        <v>5</v>
      </c>
      <c r="C172" s="587">
        <v>1</v>
      </c>
      <c r="D172" s="587">
        <f t="shared" ref="D172:D178" si="9">B172*S49</f>
        <v>40</v>
      </c>
      <c r="E172" s="588"/>
      <c r="F172" s="579"/>
      <c r="G172" s="588"/>
      <c r="H172" s="588"/>
      <c r="I172" s="589"/>
    </row>
    <row r="173" spans="1:9" x14ac:dyDescent="0.3">
      <c r="A173" s="586">
        <f t="shared" si="8"/>
        <v>7</v>
      </c>
      <c r="B173" s="587">
        <v>4</v>
      </c>
      <c r="C173" s="587">
        <v>1</v>
      </c>
      <c r="D173" s="587">
        <f t="shared" si="9"/>
        <v>28</v>
      </c>
      <c r="E173" s="588"/>
      <c r="F173" s="579"/>
      <c r="G173" s="588"/>
      <c r="H173" s="588"/>
      <c r="I173" s="589"/>
    </row>
    <row r="174" spans="1:9" x14ac:dyDescent="0.3">
      <c r="A174" s="586">
        <f t="shared" si="8"/>
        <v>6</v>
      </c>
      <c r="B174" s="587">
        <v>3</v>
      </c>
      <c r="C174" s="587">
        <v>1</v>
      </c>
      <c r="D174" s="587">
        <f t="shared" si="9"/>
        <v>18</v>
      </c>
      <c r="E174" s="588"/>
      <c r="F174" s="579"/>
      <c r="G174" s="588"/>
      <c r="H174" s="588"/>
      <c r="I174" s="589"/>
    </row>
    <row r="175" spans="1:9" x14ac:dyDescent="0.3">
      <c r="A175" s="586">
        <f t="shared" si="8"/>
        <v>5</v>
      </c>
      <c r="B175" s="587">
        <v>2</v>
      </c>
      <c r="C175" s="587">
        <v>1</v>
      </c>
      <c r="D175" s="587">
        <f t="shared" si="9"/>
        <v>10</v>
      </c>
      <c r="E175" s="588"/>
      <c r="F175" s="579"/>
      <c r="G175" s="588"/>
      <c r="H175" s="588"/>
      <c r="I175" s="589"/>
    </row>
    <row r="176" spans="1:9" x14ac:dyDescent="0.3">
      <c r="A176" s="586">
        <f t="shared" si="8"/>
        <v>4</v>
      </c>
      <c r="B176" s="587">
        <v>1</v>
      </c>
      <c r="C176" s="587">
        <v>1</v>
      </c>
      <c r="D176" s="587">
        <f t="shared" si="9"/>
        <v>4</v>
      </c>
      <c r="E176" s="588"/>
      <c r="F176" s="579"/>
      <c r="G176" s="588"/>
      <c r="H176" s="588"/>
      <c r="I176" s="589"/>
    </row>
    <row r="177" spans="1:9" x14ac:dyDescent="0.3">
      <c r="A177" s="586">
        <f t="shared" si="8"/>
        <v>3</v>
      </c>
      <c r="B177" s="587">
        <v>2</v>
      </c>
      <c r="C177" s="587">
        <v>1</v>
      </c>
      <c r="D177" s="587">
        <f t="shared" si="9"/>
        <v>6</v>
      </c>
      <c r="E177" s="588"/>
      <c r="F177" s="579"/>
      <c r="G177" s="588"/>
      <c r="H177" s="588"/>
      <c r="I177" s="589"/>
    </row>
    <row r="178" spans="1:9" x14ac:dyDescent="0.3">
      <c r="A178" s="586">
        <f t="shared" si="8"/>
        <v>1</v>
      </c>
      <c r="B178" s="587">
        <v>3</v>
      </c>
      <c r="C178" s="587">
        <v>1</v>
      </c>
      <c r="D178" s="587">
        <f t="shared" si="9"/>
        <v>3</v>
      </c>
      <c r="E178" s="588"/>
      <c r="F178" s="579"/>
      <c r="G178" s="588"/>
      <c r="H178" s="588"/>
      <c r="I178" s="589"/>
    </row>
    <row r="179" spans="1:9" x14ac:dyDescent="0.3">
      <c r="A179" s="586"/>
      <c r="B179" s="587"/>
      <c r="C179" s="587"/>
      <c r="D179" s="587"/>
      <c r="E179" s="588"/>
      <c r="F179" s="579"/>
      <c r="G179" s="588"/>
      <c r="H179" s="588"/>
      <c r="I179" s="589"/>
    </row>
    <row r="180" spans="1:9" x14ac:dyDescent="0.3">
      <c r="A180" s="586">
        <f t="shared" ref="A180:A185" si="10">S57</f>
        <v>9</v>
      </c>
      <c r="B180" s="587">
        <v>5</v>
      </c>
      <c r="C180" s="587">
        <v>1</v>
      </c>
      <c r="D180" s="587">
        <f t="shared" ref="D180:D185" si="11">B180*S57</f>
        <v>45</v>
      </c>
      <c r="E180" s="588"/>
      <c r="F180" s="579"/>
      <c r="G180" s="588"/>
      <c r="H180" s="588"/>
      <c r="I180" s="589"/>
    </row>
    <row r="181" spans="1:9" x14ac:dyDescent="0.3">
      <c r="A181" s="586">
        <f t="shared" si="10"/>
        <v>8</v>
      </c>
      <c r="B181" s="587">
        <v>4</v>
      </c>
      <c r="C181" s="587">
        <v>1</v>
      </c>
      <c r="D181" s="587">
        <f t="shared" si="11"/>
        <v>32</v>
      </c>
      <c r="E181" s="588"/>
      <c r="F181" s="579"/>
      <c r="G181" s="588"/>
      <c r="H181" s="588"/>
      <c r="I181" s="589"/>
    </row>
    <row r="182" spans="1:9" x14ac:dyDescent="0.3">
      <c r="A182" s="586">
        <f t="shared" si="10"/>
        <v>7</v>
      </c>
      <c r="B182" s="587">
        <v>3</v>
      </c>
      <c r="C182" s="587">
        <v>1</v>
      </c>
      <c r="D182" s="587">
        <f t="shared" si="11"/>
        <v>21</v>
      </c>
      <c r="E182" s="588"/>
      <c r="F182" s="579"/>
      <c r="G182" s="588"/>
      <c r="H182" s="588"/>
      <c r="I182" s="589"/>
    </row>
    <row r="183" spans="1:9" x14ac:dyDescent="0.3">
      <c r="A183" s="586">
        <f t="shared" si="10"/>
        <v>6</v>
      </c>
      <c r="B183" s="587">
        <v>2</v>
      </c>
      <c r="C183" s="587">
        <v>1</v>
      </c>
      <c r="D183" s="587">
        <f t="shared" si="11"/>
        <v>12</v>
      </c>
      <c r="E183" s="588"/>
      <c r="F183" s="579"/>
      <c r="G183" s="588"/>
      <c r="H183" s="588"/>
      <c r="I183" s="589"/>
    </row>
    <row r="184" spans="1:9" x14ac:dyDescent="0.3">
      <c r="A184" s="586">
        <f t="shared" si="10"/>
        <v>5</v>
      </c>
      <c r="B184" s="587">
        <v>1</v>
      </c>
      <c r="C184" s="587">
        <v>1</v>
      </c>
      <c r="D184" s="587">
        <f t="shared" si="11"/>
        <v>5</v>
      </c>
      <c r="E184" s="588"/>
      <c r="F184" s="579"/>
      <c r="G184" s="588"/>
      <c r="H184" s="588"/>
      <c r="I184" s="589"/>
    </row>
    <row r="185" spans="1:9" x14ac:dyDescent="0.3">
      <c r="A185" s="586">
        <f t="shared" si="10"/>
        <v>4</v>
      </c>
      <c r="B185" s="587">
        <v>2</v>
      </c>
      <c r="C185" s="587">
        <v>1</v>
      </c>
      <c r="D185" s="587">
        <f t="shared" si="11"/>
        <v>8</v>
      </c>
      <c r="E185" s="588"/>
      <c r="F185" s="579"/>
      <c r="G185" s="588"/>
      <c r="H185" s="588"/>
      <c r="I185" s="589"/>
    </row>
    <row r="186" spans="1:9" x14ac:dyDescent="0.3">
      <c r="A186" s="586"/>
      <c r="B186" s="587"/>
      <c r="C186" s="587"/>
      <c r="D186" s="587"/>
      <c r="E186" s="588"/>
      <c r="F186" s="579"/>
      <c r="G186" s="588"/>
      <c r="H186" s="588"/>
      <c r="I186" s="589"/>
    </row>
    <row r="187" spans="1:9" x14ac:dyDescent="0.3">
      <c r="A187" s="586">
        <f>S64</f>
        <v>8</v>
      </c>
      <c r="B187" s="587">
        <v>5</v>
      </c>
      <c r="C187" s="587">
        <v>1</v>
      </c>
      <c r="D187" s="587">
        <f>B187*S64</f>
        <v>40</v>
      </c>
      <c r="E187" s="588"/>
      <c r="F187" s="579"/>
      <c r="G187" s="588"/>
      <c r="H187" s="588"/>
      <c r="I187" s="589"/>
    </row>
    <row r="188" spans="1:9" x14ac:dyDescent="0.3">
      <c r="A188" s="586">
        <f>S65</f>
        <v>5</v>
      </c>
      <c r="B188" s="587">
        <v>3</v>
      </c>
      <c r="C188" s="587">
        <v>1</v>
      </c>
      <c r="D188" s="587">
        <f>B188*S65</f>
        <v>15</v>
      </c>
      <c r="E188" s="588"/>
      <c r="F188" s="579"/>
      <c r="G188" s="588"/>
      <c r="H188" s="588"/>
      <c r="I188" s="589"/>
    </row>
    <row r="189" spans="1:9" x14ac:dyDescent="0.3">
      <c r="A189" s="586">
        <f>S66</f>
        <v>2</v>
      </c>
      <c r="B189" s="587">
        <v>2</v>
      </c>
      <c r="C189" s="587">
        <v>1</v>
      </c>
      <c r="D189" s="587">
        <f>B189*S66</f>
        <v>4</v>
      </c>
      <c r="E189" s="588"/>
      <c r="F189" s="579"/>
      <c r="G189" s="588"/>
      <c r="H189" s="588"/>
      <c r="I189" s="589"/>
    </row>
    <row r="190" spans="1:9" x14ac:dyDescent="0.3">
      <c r="A190" s="586">
        <f>S67</f>
        <v>6</v>
      </c>
      <c r="B190" s="587">
        <v>3</v>
      </c>
      <c r="C190" s="587">
        <v>1</v>
      </c>
      <c r="D190" s="587">
        <f>B190*S67</f>
        <v>18</v>
      </c>
      <c r="E190" s="588"/>
      <c r="F190" s="579"/>
      <c r="G190" s="588"/>
      <c r="H190" s="588"/>
      <c r="I190" s="589"/>
    </row>
    <row r="191" spans="1:9" x14ac:dyDescent="0.3">
      <c r="A191" s="586">
        <f>S68</f>
        <v>7</v>
      </c>
      <c r="B191" s="587">
        <v>2</v>
      </c>
      <c r="C191" s="587">
        <v>1</v>
      </c>
      <c r="D191" s="587">
        <f>B191*S68</f>
        <v>14</v>
      </c>
      <c r="E191" s="588"/>
      <c r="F191" s="579"/>
      <c r="G191" s="588"/>
      <c r="H191" s="588"/>
      <c r="I191" s="589"/>
    </row>
    <row r="192" spans="1:9" x14ac:dyDescent="0.3">
      <c r="A192" s="586"/>
      <c r="B192" s="587"/>
      <c r="C192" s="587"/>
      <c r="D192" s="587"/>
      <c r="E192" s="588"/>
      <c r="F192" s="579"/>
      <c r="G192" s="588"/>
      <c r="H192" s="588"/>
      <c r="I192" s="589"/>
    </row>
    <row r="193" spans="1:9" x14ac:dyDescent="0.3">
      <c r="A193" s="586">
        <f t="shared" ref="A193:A200" si="12">S70</f>
        <v>10</v>
      </c>
      <c r="B193" s="587">
        <v>5</v>
      </c>
      <c r="C193" s="587">
        <v>1</v>
      </c>
      <c r="D193" s="587">
        <f t="shared" ref="D193:D200" si="13">B193*S70</f>
        <v>50</v>
      </c>
      <c r="E193" s="588"/>
      <c r="F193" s="579"/>
      <c r="G193" s="588"/>
      <c r="H193" s="588"/>
      <c r="I193" s="589"/>
    </row>
    <row r="194" spans="1:9" x14ac:dyDescent="0.3">
      <c r="A194" s="586">
        <f t="shared" si="12"/>
        <v>7</v>
      </c>
      <c r="B194" s="587">
        <v>3</v>
      </c>
      <c r="C194" s="587">
        <v>1</v>
      </c>
      <c r="D194" s="587">
        <f t="shared" si="13"/>
        <v>21</v>
      </c>
      <c r="E194" s="588"/>
      <c r="F194" s="579"/>
      <c r="G194" s="588"/>
      <c r="H194" s="588"/>
      <c r="I194" s="589"/>
    </row>
    <row r="195" spans="1:9" x14ac:dyDescent="0.3">
      <c r="A195" s="586">
        <f t="shared" si="12"/>
        <v>5</v>
      </c>
      <c r="B195" s="587">
        <v>5</v>
      </c>
      <c r="C195" s="587">
        <v>1</v>
      </c>
      <c r="D195" s="587">
        <f t="shared" si="13"/>
        <v>25</v>
      </c>
      <c r="E195" s="588"/>
      <c r="F195" s="579"/>
      <c r="G195" s="588"/>
      <c r="H195" s="588"/>
      <c r="I195" s="589"/>
    </row>
    <row r="196" spans="1:9" x14ac:dyDescent="0.3">
      <c r="A196" s="586">
        <f t="shared" si="12"/>
        <v>6</v>
      </c>
      <c r="B196" s="587">
        <v>4</v>
      </c>
      <c r="C196" s="587">
        <v>1</v>
      </c>
      <c r="D196" s="587">
        <f t="shared" si="13"/>
        <v>24</v>
      </c>
      <c r="E196" s="588"/>
      <c r="F196" s="579"/>
      <c r="G196" s="588"/>
      <c r="H196" s="588"/>
      <c r="I196" s="589"/>
    </row>
    <row r="197" spans="1:9" x14ac:dyDescent="0.3">
      <c r="A197" s="586">
        <f t="shared" si="12"/>
        <v>9</v>
      </c>
      <c r="B197" s="587">
        <v>5</v>
      </c>
      <c r="C197" s="587">
        <v>1</v>
      </c>
      <c r="D197" s="587">
        <f t="shared" si="13"/>
        <v>45</v>
      </c>
      <c r="E197" s="588"/>
      <c r="F197" s="579"/>
      <c r="G197" s="588"/>
      <c r="H197" s="588"/>
      <c r="I197" s="589"/>
    </row>
    <row r="198" spans="1:9" x14ac:dyDescent="0.3">
      <c r="A198" s="586">
        <f t="shared" si="12"/>
        <v>6</v>
      </c>
      <c r="B198" s="587">
        <v>4</v>
      </c>
      <c r="C198" s="587">
        <v>1</v>
      </c>
      <c r="D198" s="587">
        <f t="shared" si="13"/>
        <v>24</v>
      </c>
      <c r="E198" s="588"/>
      <c r="F198" s="579"/>
      <c r="G198" s="588"/>
      <c r="H198" s="588"/>
      <c r="I198" s="589"/>
    </row>
    <row r="199" spans="1:9" x14ac:dyDescent="0.3">
      <c r="A199" s="586">
        <f t="shared" si="12"/>
        <v>10</v>
      </c>
      <c r="B199" s="587">
        <v>5</v>
      </c>
      <c r="C199" s="587">
        <v>1</v>
      </c>
      <c r="D199" s="587">
        <f t="shared" si="13"/>
        <v>50</v>
      </c>
      <c r="E199" s="588"/>
      <c r="F199" s="579"/>
      <c r="G199" s="588"/>
      <c r="H199" s="588"/>
      <c r="I199" s="589"/>
    </row>
    <row r="200" spans="1:9" x14ac:dyDescent="0.3">
      <c r="A200" s="592">
        <f t="shared" si="12"/>
        <v>10</v>
      </c>
      <c r="B200" s="593">
        <v>2</v>
      </c>
      <c r="C200" s="593">
        <v>1</v>
      </c>
      <c r="D200" s="593">
        <f t="shared" si="13"/>
        <v>20</v>
      </c>
      <c r="E200" s="594"/>
      <c r="F200" s="595"/>
      <c r="G200" s="594"/>
      <c r="H200" s="594"/>
      <c r="I200" s="596"/>
    </row>
  </sheetData>
  <sheetProtection sheet="1" objects="1" scenarios="1" formatCells="0" formatColumns="0" formatRows="0" insertHyperlinks="0" selectLockedCells="1" sort="0" autoFilter="0"/>
  <mergeCells count="92">
    <mergeCell ref="D93:U93"/>
    <mergeCell ref="D94:U94"/>
    <mergeCell ref="D87:U87"/>
    <mergeCell ref="D88:U88"/>
    <mergeCell ref="D89:U89"/>
    <mergeCell ref="D90:U90"/>
    <mergeCell ref="D91:U91"/>
    <mergeCell ref="D92:U92"/>
    <mergeCell ref="D86:U86"/>
    <mergeCell ref="D72:E72"/>
    <mergeCell ref="D73:E73"/>
    <mergeCell ref="D74:E74"/>
    <mergeCell ref="D75:E75"/>
    <mergeCell ref="D76:E76"/>
    <mergeCell ref="D77:E77"/>
    <mergeCell ref="D78:U78"/>
    <mergeCell ref="D82:U82"/>
    <mergeCell ref="D83:U83"/>
    <mergeCell ref="D84:U84"/>
    <mergeCell ref="D85:U85"/>
    <mergeCell ref="D71:E71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59:E59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S3:S6"/>
    <mergeCell ref="Y3:Y5"/>
    <mergeCell ref="D10:E10"/>
    <mergeCell ref="H10:I10"/>
    <mergeCell ref="L10:M10"/>
    <mergeCell ref="N3:N6"/>
    <mergeCell ref="P3:P6"/>
    <mergeCell ref="D11:E11"/>
    <mergeCell ref="G3:G6"/>
    <mergeCell ref="H3:H6"/>
    <mergeCell ref="J3:J6"/>
    <mergeCell ref="L3:L6"/>
  </mergeCells>
  <conditionalFormatting sqref="G79:G81">
    <cfRule type="iconSet" priority="1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H79:N81">
    <cfRule type="iconSet" priority="11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O79:R81 V79:V81">
    <cfRule type="iconSet" priority="14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S11:S17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19:S26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28:S30">
    <cfRule type="iconSet" priority="1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32:S39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1:S47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9:S55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57:S62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64:S68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70:S77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5">
    <dataValidation type="custom" allowBlank="1" showInputMessage="1" showErrorMessage="1" sqref="R78" xr:uid="{00000000-0002-0000-1100-000000000000}">
      <formula1>AND(R78&gt;=1,(R78&lt;=6))</formula1>
    </dataValidation>
    <dataValidation type="custom" allowBlank="1" showInputMessage="1" showErrorMessage="1" errorTitle="Erreur  -  Fehler" error="Tous  les champs doivent être remplis et la note doit être entre 1.0 et 6.0!_x000a__x000a_Alle Felder müssen ausgefüllt und die  Note zwischen 1.0  un 6.0 sein!" sqref="V5" xr:uid="{00000000-0002-0000-1100-000001000000}">
      <formula1>AND(AND(V5&gt;=1,(V5&lt;=6)),(#REF!=14))</formula1>
    </dataValidation>
    <dataValidation type="list" allowBlank="1" showInputMessage="1" showErrorMessage="1" sqref="W79:X81" xr:uid="{00000000-0002-0000-1100-000002000000}">
      <formula1>"1,2,3,4,5,6,7,8,9,10,11"</formula1>
    </dataValidation>
    <dataValidation type="list" allowBlank="1" showInputMessage="1" showErrorMessage="1" sqref="S28:S30 S64:S68 S41:S47 S57:S62 S11:S17 S19:S26 S32:S39 S49:S55 S70:S77" xr:uid="{00000000-0002-0000-1100-000003000000}">
      <formula1>"1,2,3,4,5,6,7,8,9,10"</formula1>
    </dataValidation>
    <dataValidation type="list" allowBlank="1" showInputMessage="1" showErrorMessage="1" sqref="I79:I81 L79:L81" xr:uid="{00000000-0002-0000-1100-000004000000}">
      <formula1>"1,2,3"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orientation="portrait" r:id="rId1"/>
  <headerFooter>
    <oddFooter>&amp;R&amp;9&amp;K01+049&amp;P/&amp;N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Group Box 1">
              <controlPr defaultSize="0" print="0" autoFill="0" autoPict="0">
                <anchor moveWithCells="1">
                  <from>
                    <xdr:col>6</xdr:col>
                    <xdr:colOff>68580</xdr:colOff>
                    <xdr:row>11</xdr:row>
                    <xdr:rowOff>22860</xdr:rowOff>
                  </from>
                  <to>
                    <xdr:col>16</xdr:col>
                    <xdr:colOff>76200</xdr:colOff>
                    <xdr:row>11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Option Button 2">
              <controlPr defaultSize="0" autoFill="0" autoLine="0" autoPict="0">
                <anchor moveWithCells="1">
                  <from>
                    <xdr:col>7</xdr:col>
                    <xdr:colOff>76200</xdr:colOff>
                    <xdr:row>11</xdr:row>
                    <xdr:rowOff>53340</xdr:rowOff>
                  </from>
                  <to>
                    <xdr:col>7</xdr:col>
                    <xdr:colOff>297180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" r:id="rId6" name="Option Button 3">
              <controlPr defaultSize="0" autoFill="0" autoLine="0" autoPict="0">
                <anchor moveWithCells="1">
                  <from>
                    <xdr:col>9</xdr:col>
                    <xdr:colOff>68580</xdr:colOff>
                    <xdr:row>11</xdr:row>
                    <xdr:rowOff>53340</xdr:rowOff>
                  </from>
                  <to>
                    <xdr:col>9</xdr:col>
                    <xdr:colOff>289560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" r:id="rId7" name="Option Button 4">
              <controlPr defaultSize="0" autoFill="0" autoLine="0" autoPict="0">
                <anchor moveWithCells="1">
                  <from>
                    <xdr:col>11</xdr:col>
                    <xdr:colOff>60960</xdr:colOff>
                    <xdr:row>11</xdr:row>
                    <xdr:rowOff>53340</xdr:rowOff>
                  </from>
                  <to>
                    <xdr:col>11</xdr:col>
                    <xdr:colOff>281940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" r:id="rId8" name="Option Button 5">
              <controlPr defaultSize="0" autoFill="0" autoLine="0" autoPict="0">
                <anchor moveWithCells="1">
                  <from>
                    <xdr:col>13</xdr:col>
                    <xdr:colOff>53340</xdr:colOff>
                    <xdr:row>11</xdr:row>
                    <xdr:rowOff>53340</xdr:rowOff>
                  </from>
                  <to>
                    <xdr:col>13</xdr:col>
                    <xdr:colOff>266700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" r:id="rId9" name="Option Button 6">
              <controlPr defaultSize="0" autoFill="0" autoLine="0" autoPict="0">
                <anchor moveWithCells="1">
                  <from>
                    <xdr:col>15</xdr:col>
                    <xdr:colOff>38100</xdr:colOff>
                    <xdr:row>11</xdr:row>
                    <xdr:rowOff>53340</xdr:rowOff>
                  </from>
                  <to>
                    <xdr:col>15</xdr:col>
                    <xdr:colOff>259080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" r:id="rId10" name="Group Box 7">
              <controlPr defaultSize="0" print="0" autoFill="0" autoPict="0">
                <anchor moveWithCells="1">
                  <from>
                    <xdr:col>6</xdr:col>
                    <xdr:colOff>68580</xdr:colOff>
                    <xdr:row>12</xdr:row>
                    <xdr:rowOff>30480</xdr:rowOff>
                  </from>
                  <to>
                    <xdr:col>16</xdr:col>
                    <xdr:colOff>76200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" r:id="rId11" name="Option Button 8">
              <controlPr defaultSize="0" autoFill="0" autoLine="0" autoPict="0">
                <anchor moveWithCells="1">
                  <from>
                    <xdr:col>7</xdr:col>
                    <xdr:colOff>76200</xdr:colOff>
                    <xdr:row>12</xdr:row>
                    <xdr:rowOff>60960</xdr:rowOff>
                  </from>
                  <to>
                    <xdr:col>7</xdr:col>
                    <xdr:colOff>297180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" r:id="rId12" name="Option Button 9">
              <controlPr defaultSize="0" autoFill="0" autoLine="0" autoPict="0">
                <anchor moveWithCells="1">
                  <from>
                    <xdr:col>9</xdr:col>
                    <xdr:colOff>68580</xdr:colOff>
                    <xdr:row>12</xdr:row>
                    <xdr:rowOff>60960</xdr:rowOff>
                  </from>
                  <to>
                    <xdr:col>9</xdr:col>
                    <xdr:colOff>289560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" r:id="rId13" name="Option Button 10">
              <controlPr defaultSize="0" autoFill="0" autoLine="0" autoPict="0">
                <anchor moveWithCells="1">
                  <from>
                    <xdr:col>11</xdr:col>
                    <xdr:colOff>60960</xdr:colOff>
                    <xdr:row>12</xdr:row>
                    <xdr:rowOff>60960</xdr:rowOff>
                  </from>
                  <to>
                    <xdr:col>11</xdr:col>
                    <xdr:colOff>281940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" r:id="rId14" name="Option Button 11">
              <controlPr defaultSize="0" autoFill="0" autoLine="0" autoPict="0">
                <anchor moveWithCells="1">
                  <from>
                    <xdr:col>13</xdr:col>
                    <xdr:colOff>45720</xdr:colOff>
                    <xdr:row>12</xdr:row>
                    <xdr:rowOff>60960</xdr:rowOff>
                  </from>
                  <to>
                    <xdr:col>13</xdr:col>
                    <xdr:colOff>266700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" r:id="rId15" name="Option Button 12">
              <controlPr defaultSize="0" autoFill="0" autoLine="0" autoPict="0">
                <anchor moveWithCells="1">
                  <from>
                    <xdr:col>15</xdr:col>
                    <xdr:colOff>38100</xdr:colOff>
                    <xdr:row>12</xdr:row>
                    <xdr:rowOff>60960</xdr:rowOff>
                  </from>
                  <to>
                    <xdr:col>15</xdr:col>
                    <xdr:colOff>259080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" r:id="rId16" name="Group Box 13">
              <controlPr defaultSize="0" print="0" autoFill="0" autoPict="0">
                <anchor moveWithCells="1">
                  <from>
                    <xdr:col>6</xdr:col>
                    <xdr:colOff>68580</xdr:colOff>
                    <xdr:row>12</xdr:row>
                    <xdr:rowOff>388620</xdr:rowOff>
                  </from>
                  <to>
                    <xdr:col>16</xdr:col>
                    <xdr:colOff>76200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" r:id="rId17" name="Option Button 14">
              <controlPr defaultSize="0" autoFill="0" autoLine="0" autoPict="0">
                <anchor moveWithCells="1">
                  <from>
                    <xdr:col>7</xdr:col>
                    <xdr:colOff>76200</xdr:colOff>
                    <xdr:row>13</xdr:row>
                    <xdr:rowOff>22860</xdr:rowOff>
                  </from>
                  <to>
                    <xdr:col>7</xdr:col>
                    <xdr:colOff>297180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" r:id="rId18" name="Option Button 15">
              <controlPr defaultSize="0" autoFill="0" autoLine="0" autoPict="0">
                <anchor moveWithCells="1">
                  <from>
                    <xdr:col>9</xdr:col>
                    <xdr:colOff>68580</xdr:colOff>
                    <xdr:row>13</xdr:row>
                    <xdr:rowOff>22860</xdr:rowOff>
                  </from>
                  <to>
                    <xdr:col>9</xdr:col>
                    <xdr:colOff>289560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" r:id="rId19" name="Option Button 16">
              <controlPr defaultSize="0" autoFill="0" autoLine="0" autoPict="0">
                <anchor moveWithCells="1">
                  <from>
                    <xdr:col>11</xdr:col>
                    <xdr:colOff>60960</xdr:colOff>
                    <xdr:row>13</xdr:row>
                    <xdr:rowOff>22860</xdr:rowOff>
                  </from>
                  <to>
                    <xdr:col>11</xdr:col>
                    <xdr:colOff>281940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" r:id="rId20" name="Option Button 17">
              <controlPr defaultSize="0" autoFill="0" autoLine="0" autoPict="0">
                <anchor moveWithCells="1">
                  <from>
                    <xdr:col>13</xdr:col>
                    <xdr:colOff>53340</xdr:colOff>
                    <xdr:row>13</xdr:row>
                    <xdr:rowOff>22860</xdr:rowOff>
                  </from>
                  <to>
                    <xdr:col>13</xdr:col>
                    <xdr:colOff>266700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" r:id="rId21" name="Option Button 18">
              <controlPr defaultSize="0" autoFill="0" autoLine="0" autoPict="0">
                <anchor moveWithCells="1">
                  <from>
                    <xdr:col>15</xdr:col>
                    <xdr:colOff>38100</xdr:colOff>
                    <xdr:row>13</xdr:row>
                    <xdr:rowOff>22860</xdr:rowOff>
                  </from>
                  <to>
                    <xdr:col>15</xdr:col>
                    <xdr:colOff>259080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" r:id="rId22" name="Group Box 19">
              <controlPr defaultSize="0" print="0" autoFill="0" autoPict="0">
                <anchor moveWithCells="1">
                  <from>
                    <xdr:col>6</xdr:col>
                    <xdr:colOff>68580</xdr:colOff>
                    <xdr:row>29</xdr:row>
                    <xdr:rowOff>15240</xdr:rowOff>
                  </from>
                  <to>
                    <xdr:col>16</xdr:col>
                    <xdr:colOff>76200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" r:id="rId23" name="Option Button 20">
              <controlPr defaultSize="0" autoFill="0" autoLine="0" autoPict="0">
                <anchor moveWithCells="1">
                  <from>
                    <xdr:col>7</xdr:col>
                    <xdr:colOff>76200</xdr:colOff>
                    <xdr:row>29</xdr:row>
                    <xdr:rowOff>45720</xdr:rowOff>
                  </from>
                  <to>
                    <xdr:col>7</xdr:col>
                    <xdr:colOff>297180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" r:id="rId24" name="Option Button 21">
              <controlPr defaultSize="0" autoFill="0" autoLine="0" autoPict="0">
                <anchor moveWithCells="1">
                  <from>
                    <xdr:col>9</xdr:col>
                    <xdr:colOff>68580</xdr:colOff>
                    <xdr:row>29</xdr:row>
                    <xdr:rowOff>45720</xdr:rowOff>
                  </from>
                  <to>
                    <xdr:col>9</xdr:col>
                    <xdr:colOff>289560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" r:id="rId25" name="Option Button 22">
              <controlPr defaultSize="0" autoFill="0" autoLine="0" autoPict="0">
                <anchor moveWithCells="1">
                  <from>
                    <xdr:col>11</xdr:col>
                    <xdr:colOff>60960</xdr:colOff>
                    <xdr:row>29</xdr:row>
                    <xdr:rowOff>45720</xdr:rowOff>
                  </from>
                  <to>
                    <xdr:col>11</xdr:col>
                    <xdr:colOff>281940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" r:id="rId26" name="Option Button 23">
              <controlPr defaultSize="0" autoFill="0" autoLine="0" autoPict="0">
                <anchor moveWithCells="1">
                  <from>
                    <xdr:col>13</xdr:col>
                    <xdr:colOff>53340</xdr:colOff>
                    <xdr:row>29</xdr:row>
                    <xdr:rowOff>45720</xdr:rowOff>
                  </from>
                  <to>
                    <xdr:col>13</xdr:col>
                    <xdr:colOff>266700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" r:id="rId27" name="Option Button 24">
              <controlPr defaultSize="0" autoFill="0" autoLine="0" autoPict="0">
                <anchor moveWithCells="1">
                  <from>
                    <xdr:col>15</xdr:col>
                    <xdr:colOff>38100</xdr:colOff>
                    <xdr:row>29</xdr:row>
                    <xdr:rowOff>45720</xdr:rowOff>
                  </from>
                  <to>
                    <xdr:col>15</xdr:col>
                    <xdr:colOff>259080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" r:id="rId28" name="Group Box 25">
              <controlPr defaultSize="0" print="0" autoFill="0" autoPict="0">
                <anchor moveWithCells="1">
                  <from>
                    <xdr:col>6</xdr:col>
                    <xdr:colOff>60960</xdr:colOff>
                    <xdr:row>10</xdr:row>
                    <xdr:rowOff>15240</xdr:rowOff>
                  </from>
                  <to>
                    <xdr:col>16</xdr:col>
                    <xdr:colOff>68580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" r:id="rId29" name="Option Button 26">
              <controlPr defaultSize="0" autoFill="0" autoLine="0" autoPict="0">
                <anchor moveWithCells="1">
                  <from>
                    <xdr:col>7</xdr:col>
                    <xdr:colOff>68580</xdr:colOff>
                    <xdr:row>10</xdr:row>
                    <xdr:rowOff>53340</xdr:rowOff>
                  </from>
                  <to>
                    <xdr:col>7</xdr:col>
                    <xdr:colOff>289560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" r:id="rId30" name="Option Button 27">
              <controlPr defaultSize="0" autoFill="0" autoLine="0" autoPict="0">
                <anchor moveWithCells="1">
                  <from>
                    <xdr:col>9</xdr:col>
                    <xdr:colOff>60960</xdr:colOff>
                    <xdr:row>10</xdr:row>
                    <xdr:rowOff>53340</xdr:rowOff>
                  </from>
                  <to>
                    <xdr:col>9</xdr:col>
                    <xdr:colOff>281940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" r:id="rId31" name="Option Button 28">
              <controlPr defaultSize="0" autoFill="0" autoLine="0" autoPict="0">
                <anchor moveWithCells="1">
                  <from>
                    <xdr:col>11</xdr:col>
                    <xdr:colOff>53340</xdr:colOff>
                    <xdr:row>10</xdr:row>
                    <xdr:rowOff>53340</xdr:rowOff>
                  </from>
                  <to>
                    <xdr:col>11</xdr:col>
                    <xdr:colOff>266700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" r:id="rId32" name="Option Button 29">
              <controlPr defaultSize="0" autoFill="0" autoLine="0" autoPict="0">
                <anchor moveWithCells="1">
                  <from>
                    <xdr:col>13</xdr:col>
                    <xdr:colOff>38100</xdr:colOff>
                    <xdr:row>10</xdr:row>
                    <xdr:rowOff>53340</xdr:rowOff>
                  </from>
                  <to>
                    <xdr:col>13</xdr:col>
                    <xdr:colOff>259080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" r:id="rId33" name="Option Button 30">
              <controlPr defaultSize="0" autoFill="0" autoLine="0" autoPict="0">
                <anchor moveWithCells="1">
                  <from>
                    <xdr:col>15</xdr:col>
                    <xdr:colOff>30480</xdr:colOff>
                    <xdr:row>10</xdr:row>
                    <xdr:rowOff>53340</xdr:rowOff>
                  </from>
                  <to>
                    <xdr:col>15</xdr:col>
                    <xdr:colOff>251460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" r:id="rId34" name="Group Box 31">
              <controlPr defaultSize="0" print="0" autoFill="0" autoPict="0">
                <anchor moveWithCells="1">
                  <from>
                    <xdr:col>6</xdr:col>
                    <xdr:colOff>68580</xdr:colOff>
                    <xdr:row>23</xdr:row>
                    <xdr:rowOff>22860</xdr:rowOff>
                  </from>
                  <to>
                    <xdr:col>16</xdr:col>
                    <xdr:colOff>76200</xdr:colOff>
                    <xdr:row>23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" r:id="rId35" name="Option Button 32">
              <controlPr defaultSize="0" autoFill="0" autoLine="0" autoPict="0">
                <anchor moveWithCells="1">
                  <from>
                    <xdr:col>7</xdr:col>
                    <xdr:colOff>76200</xdr:colOff>
                    <xdr:row>23</xdr:row>
                    <xdr:rowOff>53340</xdr:rowOff>
                  </from>
                  <to>
                    <xdr:col>7</xdr:col>
                    <xdr:colOff>297180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" r:id="rId36" name="Option Button 33">
              <controlPr defaultSize="0" autoFill="0" autoLine="0" autoPict="0">
                <anchor moveWithCells="1">
                  <from>
                    <xdr:col>9</xdr:col>
                    <xdr:colOff>68580</xdr:colOff>
                    <xdr:row>23</xdr:row>
                    <xdr:rowOff>53340</xdr:rowOff>
                  </from>
                  <to>
                    <xdr:col>9</xdr:col>
                    <xdr:colOff>289560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" r:id="rId37" name="Option Button 34">
              <controlPr defaultSize="0" autoFill="0" autoLine="0" autoPict="0">
                <anchor moveWithCells="1">
                  <from>
                    <xdr:col>11</xdr:col>
                    <xdr:colOff>60960</xdr:colOff>
                    <xdr:row>23</xdr:row>
                    <xdr:rowOff>53340</xdr:rowOff>
                  </from>
                  <to>
                    <xdr:col>11</xdr:col>
                    <xdr:colOff>281940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" r:id="rId38" name="Option Button 35">
              <controlPr defaultSize="0" autoFill="0" autoLine="0" autoPict="0">
                <anchor moveWithCells="1">
                  <from>
                    <xdr:col>13</xdr:col>
                    <xdr:colOff>53340</xdr:colOff>
                    <xdr:row>23</xdr:row>
                    <xdr:rowOff>53340</xdr:rowOff>
                  </from>
                  <to>
                    <xdr:col>13</xdr:col>
                    <xdr:colOff>266700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2" r:id="rId39" name="Option Button 36">
              <controlPr defaultSize="0" autoFill="0" autoLine="0" autoPict="0">
                <anchor moveWithCells="1">
                  <from>
                    <xdr:col>15</xdr:col>
                    <xdr:colOff>38100</xdr:colOff>
                    <xdr:row>23</xdr:row>
                    <xdr:rowOff>53340</xdr:rowOff>
                  </from>
                  <to>
                    <xdr:col>15</xdr:col>
                    <xdr:colOff>259080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3" r:id="rId40" name="Group Box 37">
              <controlPr defaultSize="0" print="0" autoFill="0" autoPict="0">
                <anchor moveWithCells="1">
                  <from>
                    <xdr:col>6</xdr:col>
                    <xdr:colOff>68580</xdr:colOff>
                    <xdr:row>24</xdr:row>
                    <xdr:rowOff>7620</xdr:rowOff>
                  </from>
                  <to>
                    <xdr:col>16</xdr:col>
                    <xdr:colOff>76200</xdr:colOff>
                    <xdr:row>24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4" r:id="rId41" name="Option Button 38">
              <controlPr defaultSize="0" autoFill="0" autoLine="0" autoPict="0">
                <anchor moveWithCells="1">
                  <from>
                    <xdr:col>7</xdr:col>
                    <xdr:colOff>76200</xdr:colOff>
                    <xdr:row>24</xdr:row>
                    <xdr:rowOff>45720</xdr:rowOff>
                  </from>
                  <to>
                    <xdr:col>7</xdr:col>
                    <xdr:colOff>297180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5" r:id="rId42" name="Option Button 39">
              <controlPr defaultSize="0" autoFill="0" autoLine="0" autoPict="0">
                <anchor moveWithCells="1">
                  <from>
                    <xdr:col>9</xdr:col>
                    <xdr:colOff>68580</xdr:colOff>
                    <xdr:row>24</xdr:row>
                    <xdr:rowOff>45720</xdr:rowOff>
                  </from>
                  <to>
                    <xdr:col>9</xdr:col>
                    <xdr:colOff>289560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6" r:id="rId43" name="Option Button 40">
              <controlPr defaultSize="0" autoFill="0" autoLine="0" autoPict="0">
                <anchor moveWithCells="1">
                  <from>
                    <xdr:col>11</xdr:col>
                    <xdr:colOff>60960</xdr:colOff>
                    <xdr:row>24</xdr:row>
                    <xdr:rowOff>45720</xdr:rowOff>
                  </from>
                  <to>
                    <xdr:col>11</xdr:col>
                    <xdr:colOff>281940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7" r:id="rId44" name="Option Button 41">
              <controlPr defaultSize="0" autoFill="0" autoLine="0" autoPict="0">
                <anchor moveWithCells="1">
                  <from>
                    <xdr:col>13</xdr:col>
                    <xdr:colOff>53340</xdr:colOff>
                    <xdr:row>24</xdr:row>
                    <xdr:rowOff>45720</xdr:rowOff>
                  </from>
                  <to>
                    <xdr:col>13</xdr:col>
                    <xdr:colOff>266700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8" r:id="rId45" name="Option Button 42">
              <controlPr defaultSize="0" autoFill="0" autoLine="0" autoPict="0">
                <anchor moveWithCells="1">
                  <from>
                    <xdr:col>15</xdr:col>
                    <xdr:colOff>38100</xdr:colOff>
                    <xdr:row>24</xdr:row>
                    <xdr:rowOff>45720</xdr:rowOff>
                  </from>
                  <to>
                    <xdr:col>15</xdr:col>
                    <xdr:colOff>259080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9" r:id="rId46" name="Group Box 43">
              <controlPr defaultSize="0" print="0" autoFill="0" autoPict="0">
                <anchor moveWithCells="1">
                  <from>
                    <xdr:col>6</xdr:col>
                    <xdr:colOff>68580</xdr:colOff>
                    <xdr:row>25</xdr:row>
                    <xdr:rowOff>7620</xdr:rowOff>
                  </from>
                  <to>
                    <xdr:col>16</xdr:col>
                    <xdr:colOff>76200</xdr:colOff>
                    <xdr:row>25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0" r:id="rId47" name="Option Button 44">
              <controlPr defaultSize="0" autoFill="0" autoLine="0" autoPict="0">
                <anchor moveWithCells="1">
                  <from>
                    <xdr:col>7</xdr:col>
                    <xdr:colOff>76200</xdr:colOff>
                    <xdr:row>25</xdr:row>
                    <xdr:rowOff>45720</xdr:rowOff>
                  </from>
                  <to>
                    <xdr:col>7</xdr:col>
                    <xdr:colOff>297180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1" r:id="rId48" name="Option Button 45">
              <controlPr defaultSize="0" autoFill="0" autoLine="0" autoPict="0">
                <anchor moveWithCells="1">
                  <from>
                    <xdr:col>9</xdr:col>
                    <xdr:colOff>68580</xdr:colOff>
                    <xdr:row>25</xdr:row>
                    <xdr:rowOff>45720</xdr:rowOff>
                  </from>
                  <to>
                    <xdr:col>9</xdr:col>
                    <xdr:colOff>289560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2" r:id="rId49" name="Option Button 46">
              <controlPr defaultSize="0" autoFill="0" autoLine="0" autoPict="0">
                <anchor moveWithCells="1">
                  <from>
                    <xdr:col>11</xdr:col>
                    <xdr:colOff>60960</xdr:colOff>
                    <xdr:row>25</xdr:row>
                    <xdr:rowOff>45720</xdr:rowOff>
                  </from>
                  <to>
                    <xdr:col>11</xdr:col>
                    <xdr:colOff>281940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3" r:id="rId50" name="Option Button 47">
              <controlPr defaultSize="0" autoFill="0" autoLine="0" autoPict="0">
                <anchor moveWithCells="1">
                  <from>
                    <xdr:col>13</xdr:col>
                    <xdr:colOff>53340</xdr:colOff>
                    <xdr:row>25</xdr:row>
                    <xdr:rowOff>45720</xdr:rowOff>
                  </from>
                  <to>
                    <xdr:col>13</xdr:col>
                    <xdr:colOff>266700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4" r:id="rId51" name="Option Button 48">
              <controlPr defaultSize="0" autoFill="0" autoLine="0" autoPict="0">
                <anchor moveWithCells="1">
                  <from>
                    <xdr:col>15</xdr:col>
                    <xdr:colOff>38100</xdr:colOff>
                    <xdr:row>25</xdr:row>
                    <xdr:rowOff>45720</xdr:rowOff>
                  </from>
                  <to>
                    <xdr:col>15</xdr:col>
                    <xdr:colOff>259080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5" r:id="rId52" name="Group Box 49">
              <controlPr defaultSize="0" print="0" autoFill="0" autoPict="0">
                <anchor moveWithCells="1">
                  <from>
                    <xdr:col>6</xdr:col>
                    <xdr:colOff>68580</xdr:colOff>
                    <xdr:row>38</xdr:row>
                    <xdr:rowOff>7620</xdr:rowOff>
                  </from>
                  <to>
                    <xdr:col>16</xdr:col>
                    <xdr:colOff>76200</xdr:colOff>
                    <xdr:row>38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6" r:id="rId53" name="Option Button 50">
              <controlPr defaultSize="0" autoFill="0" autoLine="0" autoPict="0">
                <anchor moveWithCells="1">
                  <from>
                    <xdr:col>7</xdr:col>
                    <xdr:colOff>76200</xdr:colOff>
                    <xdr:row>38</xdr:row>
                    <xdr:rowOff>45720</xdr:rowOff>
                  </from>
                  <to>
                    <xdr:col>7</xdr:col>
                    <xdr:colOff>297180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7" r:id="rId54" name="Option Button 51">
              <controlPr defaultSize="0" autoFill="0" autoLine="0" autoPict="0">
                <anchor moveWithCells="1">
                  <from>
                    <xdr:col>9</xdr:col>
                    <xdr:colOff>68580</xdr:colOff>
                    <xdr:row>38</xdr:row>
                    <xdr:rowOff>45720</xdr:rowOff>
                  </from>
                  <to>
                    <xdr:col>9</xdr:col>
                    <xdr:colOff>289560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8" r:id="rId55" name="Option Button 52">
              <controlPr defaultSize="0" autoFill="0" autoLine="0" autoPict="0">
                <anchor moveWithCells="1">
                  <from>
                    <xdr:col>11</xdr:col>
                    <xdr:colOff>60960</xdr:colOff>
                    <xdr:row>38</xdr:row>
                    <xdr:rowOff>45720</xdr:rowOff>
                  </from>
                  <to>
                    <xdr:col>11</xdr:col>
                    <xdr:colOff>281940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9" r:id="rId56" name="Option Button 53">
              <controlPr defaultSize="0" autoFill="0" autoLine="0" autoPict="0">
                <anchor moveWithCells="1">
                  <from>
                    <xdr:col>13</xdr:col>
                    <xdr:colOff>53340</xdr:colOff>
                    <xdr:row>38</xdr:row>
                    <xdr:rowOff>45720</xdr:rowOff>
                  </from>
                  <to>
                    <xdr:col>13</xdr:col>
                    <xdr:colOff>266700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0" r:id="rId57" name="Option Button 54">
              <controlPr defaultSize="0" autoFill="0" autoLine="0" autoPict="0">
                <anchor moveWithCells="1">
                  <from>
                    <xdr:col>15</xdr:col>
                    <xdr:colOff>38100</xdr:colOff>
                    <xdr:row>38</xdr:row>
                    <xdr:rowOff>45720</xdr:rowOff>
                  </from>
                  <to>
                    <xdr:col>15</xdr:col>
                    <xdr:colOff>259080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1" r:id="rId58" name="Group Box 55">
              <controlPr defaultSize="0" print="0" autoFill="0" autoPict="0">
                <anchor moveWithCells="1">
                  <from>
                    <xdr:col>6</xdr:col>
                    <xdr:colOff>68580</xdr:colOff>
                    <xdr:row>43</xdr:row>
                    <xdr:rowOff>22860</xdr:rowOff>
                  </from>
                  <to>
                    <xdr:col>16</xdr:col>
                    <xdr:colOff>76200</xdr:colOff>
                    <xdr:row>43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2" r:id="rId59" name="Option Button 56">
              <controlPr defaultSize="0" autoFill="0" autoLine="0" autoPict="0">
                <anchor moveWithCells="1">
                  <from>
                    <xdr:col>7</xdr:col>
                    <xdr:colOff>76200</xdr:colOff>
                    <xdr:row>43</xdr:row>
                    <xdr:rowOff>45720</xdr:rowOff>
                  </from>
                  <to>
                    <xdr:col>7</xdr:col>
                    <xdr:colOff>297180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3" r:id="rId60" name="Option Button 57">
              <controlPr defaultSize="0" autoFill="0" autoLine="0" autoPict="0">
                <anchor moveWithCells="1">
                  <from>
                    <xdr:col>9</xdr:col>
                    <xdr:colOff>68580</xdr:colOff>
                    <xdr:row>43</xdr:row>
                    <xdr:rowOff>45720</xdr:rowOff>
                  </from>
                  <to>
                    <xdr:col>9</xdr:col>
                    <xdr:colOff>289560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4" r:id="rId61" name="Option Button 58">
              <controlPr defaultSize="0" autoFill="0" autoLine="0" autoPict="0">
                <anchor moveWithCells="1">
                  <from>
                    <xdr:col>11</xdr:col>
                    <xdr:colOff>60960</xdr:colOff>
                    <xdr:row>43</xdr:row>
                    <xdr:rowOff>45720</xdr:rowOff>
                  </from>
                  <to>
                    <xdr:col>11</xdr:col>
                    <xdr:colOff>281940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5" r:id="rId62" name="Option Button 59">
              <controlPr defaultSize="0" autoFill="0" autoLine="0" autoPict="0">
                <anchor moveWithCells="1">
                  <from>
                    <xdr:col>13</xdr:col>
                    <xdr:colOff>45720</xdr:colOff>
                    <xdr:row>43</xdr:row>
                    <xdr:rowOff>45720</xdr:rowOff>
                  </from>
                  <to>
                    <xdr:col>13</xdr:col>
                    <xdr:colOff>266700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6" r:id="rId63" name="Option Button 60">
              <controlPr defaultSize="0" autoFill="0" autoLine="0" autoPict="0">
                <anchor moveWithCells="1">
                  <from>
                    <xdr:col>15</xdr:col>
                    <xdr:colOff>38100</xdr:colOff>
                    <xdr:row>43</xdr:row>
                    <xdr:rowOff>45720</xdr:rowOff>
                  </from>
                  <to>
                    <xdr:col>15</xdr:col>
                    <xdr:colOff>259080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7" r:id="rId64" name="Group Box 61">
              <controlPr defaultSize="0" print="0" autoFill="0" autoPict="0">
                <anchor moveWithCells="1">
                  <from>
                    <xdr:col>6</xdr:col>
                    <xdr:colOff>68580</xdr:colOff>
                    <xdr:row>46</xdr:row>
                    <xdr:rowOff>30480</xdr:rowOff>
                  </from>
                  <to>
                    <xdr:col>16</xdr:col>
                    <xdr:colOff>76200</xdr:colOff>
                    <xdr:row>46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8" r:id="rId65" name="Option Button 62">
              <controlPr defaultSize="0" autoFill="0" autoLine="0" autoPict="0">
                <anchor moveWithCells="1">
                  <from>
                    <xdr:col>7</xdr:col>
                    <xdr:colOff>76200</xdr:colOff>
                    <xdr:row>46</xdr:row>
                    <xdr:rowOff>60960</xdr:rowOff>
                  </from>
                  <to>
                    <xdr:col>7</xdr:col>
                    <xdr:colOff>297180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9" r:id="rId66" name="Option Button 63">
              <controlPr defaultSize="0" autoFill="0" autoLine="0" autoPict="0">
                <anchor moveWithCells="1">
                  <from>
                    <xdr:col>9</xdr:col>
                    <xdr:colOff>68580</xdr:colOff>
                    <xdr:row>46</xdr:row>
                    <xdr:rowOff>60960</xdr:rowOff>
                  </from>
                  <to>
                    <xdr:col>9</xdr:col>
                    <xdr:colOff>289560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0" r:id="rId67" name="Option Button 64">
              <controlPr defaultSize="0" autoFill="0" autoLine="0" autoPict="0">
                <anchor moveWithCells="1">
                  <from>
                    <xdr:col>11</xdr:col>
                    <xdr:colOff>60960</xdr:colOff>
                    <xdr:row>46</xdr:row>
                    <xdr:rowOff>60960</xdr:rowOff>
                  </from>
                  <to>
                    <xdr:col>11</xdr:col>
                    <xdr:colOff>281940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1" r:id="rId68" name="Option Button 65">
              <controlPr defaultSize="0" autoFill="0" autoLine="0" autoPict="0">
                <anchor moveWithCells="1">
                  <from>
                    <xdr:col>13</xdr:col>
                    <xdr:colOff>45720</xdr:colOff>
                    <xdr:row>46</xdr:row>
                    <xdr:rowOff>60960</xdr:rowOff>
                  </from>
                  <to>
                    <xdr:col>13</xdr:col>
                    <xdr:colOff>266700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2" r:id="rId69" name="Option Button 66">
              <controlPr defaultSize="0" autoFill="0" autoLine="0" autoPict="0">
                <anchor moveWithCells="1">
                  <from>
                    <xdr:col>15</xdr:col>
                    <xdr:colOff>38100</xdr:colOff>
                    <xdr:row>46</xdr:row>
                    <xdr:rowOff>60960</xdr:rowOff>
                  </from>
                  <to>
                    <xdr:col>15</xdr:col>
                    <xdr:colOff>259080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3" r:id="rId70" name="Group Box 67">
              <controlPr defaultSize="0" print="0" autoFill="0" autoPict="0">
                <anchor moveWithCells="1">
                  <from>
                    <xdr:col>6</xdr:col>
                    <xdr:colOff>68580</xdr:colOff>
                    <xdr:row>49</xdr:row>
                    <xdr:rowOff>7620</xdr:rowOff>
                  </from>
                  <to>
                    <xdr:col>16</xdr:col>
                    <xdr:colOff>76200</xdr:colOff>
                    <xdr:row>49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4" r:id="rId71" name="Option Button 68">
              <controlPr defaultSize="0" autoFill="0" autoLine="0" autoPict="0">
                <anchor moveWithCells="1">
                  <from>
                    <xdr:col>7</xdr:col>
                    <xdr:colOff>76200</xdr:colOff>
                    <xdr:row>49</xdr:row>
                    <xdr:rowOff>45720</xdr:rowOff>
                  </from>
                  <to>
                    <xdr:col>7</xdr:col>
                    <xdr:colOff>297180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5" r:id="rId72" name="Option Button 69">
              <controlPr defaultSize="0" autoFill="0" autoLine="0" autoPict="0">
                <anchor moveWithCells="1">
                  <from>
                    <xdr:col>9</xdr:col>
                    <xdr:colOff>68580</xdr:colOff>
                    <xdr:row>49</xdr:row>
                    <xdr:rowOff>45720</xdr:rowOff>
                  </from>
                  <to>
                    <xdr:col>9</xdr:col>
                    <xdr:colOff>289560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6" r:id="rId73" name="Option Button 70">
              <controlPr defaultSize="0" autoFill="0" autoLine="0" autoPict="0">
                <anchor moveWithCells="1">
                  <from>
                    <xdr:col>11</xdr:col>
                    <xdr:colOff>60960</xdr:colOff>
                    <xdr:row>49</xdr:row>
                    <xdr:rowOff>45720</xdr:rowOff>
                  </from>
                  <to>
                    <xdr:col>11</xdr:col>
                    <xdr:colOff>281940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7" r:id="rId74" name="Option Button 71">
              <controlPr defaultSize="0" autoFill="0" autoLine="0" autoPict="0">
                <anchor moveWithCells="1">
                  <from>
                    <xdr:col>13</xdr:col>
                    <xdr:colOff>53340</xdr:colOff>
                    <xdr:row>49</xdr:row>
                    <xdr:rowOff>45720</xdr:rowOff>
                  </from>
                  <to>
                    <xdr:col>13</xdr:col>
                    <xdr:colOff>266700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8" r:id="rId75" name="Option Button 72">
              <controlPr defaultSize="0" autoFill="0" autoLine="0" autoPict="0">
                <anchor moveWithCells="1">
                  <from>
                    <xdr:col>15</xdr:col>
                    <xdr:colOff>38100</xdr:colOff>
                    <xdr:row>49</xdr:row>
                    <xdr:rowOff>45720</xdr:rowOff>
                  </from>
                  <to>
                    <xdr:col>15</xdr:col>
                    <xdr:colOff>259080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9" r:id="rId76" name="Group Box 73">
              <controlPr defaultSize="0" print="0" autoFill="0" autoPict="0">
                <anchor moveWithCells="1">
                  <from>
                    <xdr:col>6</xdr:col>
                    <xdr:colOff>68580</xdr:colOff>
                    <xdr:row>50</xdr:row>
                    <xdr:rowOff>0</xdr:rowOff>
                  </from>
                  <to>
                    <xdr:col>16</xdr:col>
                    <xdr:colOff>76200</xdr:colOff>
                    <xdr:row>50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0" r:id="rId77" name="Option Button 74">
              <controlPr defaultSize="0" autoFill="0" autoLine="0" autoPict="0">
                <anchor moveWithCells="1">
                  <from>
                    <xdr:col>7</xdr:col>
                    <xdr:colOff>76200</xdr:colOff>
                    <xdr:row>50</xdr:row>
                    <xdr:rowOff>30480</xdr:rowOff>
                  </from>
                  <to>
                    <xdr:col>7</xdr:col>
                    <xdr:colOff>297180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1" r:id="rId78" name="Option Button 75">
              <controlPr defaultSize="0" autoFill="0" autoLine="0" autoPict="0">
                <anchor moveWithCells="1">
                  <from>
                    <xdr:col>9</xdr:col>
                    <xdr:colOff>68580</xdr:colOff>
                    <xdr:row>50</xdr:row>
                    <xdr:rowOff>30480</xdr:rowOff>
                  </from>
                  <to>
                    <xdr:col>9</xdr:col>
                    <xdr:colOff>289560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2" r:id="rId79" name="Option Button 76">
              <controlPr defaultSize="0" autoFill="0" autoLine="0" autoPict="0">
                <anchor moveWithCells="1">
                  <from>
                    <xdr:col>11</xdr:col>
                    <xdr:colOff>60960</xdr:colOff>
                    <xdr:row>50</xdr:row>
                    <xdr:rowOff>30480</xdr:rowOff>
                  </from>
                  <to>
                    <xdr:col>11</xdr:col>
                    <xdr:colOff>281940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3" r:id="rId80" name="Option Button 77">
              <controlPr defaultSize="0" autoFill="0" autoLine="0" autoPict="0">
                <anchor moveWithCells="1">
                  <from>
                    <xdr:col>13</xdr:col>
                    <xdr:colOff>53340</xdr:colOff>
                    <xdr:row>50</xdr:row>
                    <xdr:rowOff>30480</xdr:rowOff>
                  </from>
                  <to>
                    <xdr:col>13</xdr:col>
                    <xdr:colOff>266700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4" r:id="rId81" name="Option Button 78">
              <controlPr defaultSize="0" autoFill="0" autoLine="0" autoPict="0">
                <anchor moveWithCells="1">
                  <from>
                    <xdr:col>15</xdr:col>
                    <xdr:colOff>38100</xdr:colOff>
                    <xdr:row>50</xdr:row>
                    <xdr:rowOff>30480</xdr:rowOff>
                  </from>
                  <to>
                    <xdr:col>15</xdr:col>
                    <xdr:colOff>259080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5" r:id="rId82" name="Group Box 79">
              <controlPr defaultSize="0" print="0" autoFill="0" autoPict="0">
                <anchor moveWithCells="1">
                  <from>
                    <xdr:col>6</xdr:col>
                    <xdr:colOff>68580</xdr:colOff>
                    <xdr:row>54</xdr:row>
                    <xdr:rowOff>7620</xdr:rowOff>
                  </from>
                  <to>
                    <xdr:col>16</xdr:col>
                    <xdr:colOff>76200</xdr:colOff>
                    <xdr:row>54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6" r:id="rId83" name="Option Button 80">
              <controlPr defaultSize="0" autoFill="0" autoLine="0" autoPict="0">
                <anchor moveWithCells="1">
                  <from>
                    <xdr:col>7</xdr:col>
                    <xdr:colOff>76200</xdr:colOff>
                    <xdr:row>54</xdr:row>
                    <xdr:rowOff>45720</xdr:rowOff>
                  </from>
                  <to>
                    <xdr:col>7</xdr:col>
                    <xdr:colOff>297180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7" r:id="rId84" name="Option Button 81">
              <controlPr defaultSize="0" autoFill="0" autoLine="0" autoPict="0">
                <anchor moveWithCells="1">
                  <from>
                    <xdr:col>9</xdr:col>
                    <xdr:colOff>68580</xdr:colOff>
                    <xdr:row>54</xdr:row>
                    <xdr:rowOff>45720</xdr:rowOff>
                  </from>
                  <to>
                    <xdr:col>9</xdr:col>
                    <xdr:colOff>289560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8" r:id="rId85" name="Option Button 82">
              <controlPr defaultSize="0" autoFill="0" autoLine="0" autoPict="0">
                <anchor moveWithCells="1">
                  <from>
                    <xdr:col>11</xdr:col>
                    <xdr:colOff>60960</xdr:colOff>
                    <xdr:row>54</xdr:row>
                    <xdr:rowOff>45720</xdr:rowOff>
                  </from>
                  <to>
                    <xdr:col>11</xdr:col>
                    <xdr:colOff>281940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9" r:id="rId86" name="Option Button 83">
              <controlPr defaultSize="0" autoFill="0" autoLine="0" autoPict="0">
                <anchor moveWithCells="1">
                  <from>
                    <xdr:col>13</xdr:col>
                    <xdr:colOff>53340</xdr:colOff>
                    <xdr:row>54</xdr:row>
                    <xdr:rowOff>45720</xdr:rowOff>
                  </from>
                  <to>
                    <xdr:col>13</xdr:col>
                    <xdr:colOff>266700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0" r:id="rId87" name="Option Button 84">
              <controlPr defaultSize="0" autoFill="0" autoLine="0" autoPict="0">
                <anchor moveWithCells="1">
                  <from>
                    <xdr:col>15</xdr:col>
                    <xdr:colOff>38100</xdr:colOff>
                    <xdr:row>54</xdr:row>
                    <xdr:rowOff>45720</xdr:rowOff>
                  </from>
                  <to>
                    <xdr:col>15</xdr:col>
                    <xdr:colOff>259080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1" r:id="rId88" name="Group Box 85">
              <controlPr defaultSize="0" print="0" autoFill="0" autoPict="0">
                <anchor moveWithCells="1">
                  <from>
                    <xdr:col>6</xdr:col>
                    <xdr:colOff>68580</xdr:colOff>
                    <xdr:row>56</xdr:row>
                    <xdr:rowOff>30480</xdr:rowOff>
                  </from>
                  <to>
                    <xdr:col>16</xdr:col>
                    <xdr:colOff>76200</xdr:colOff>
                    <xdr:row>56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2" r:id="rId89" name="Option Button 86">
              <controlPr defaultSize="0" autoFill="0" autoLine="0" autoPict="0">
                <anchor moveWithCells="1">
                  <from>
                    <xdr:col>7</xdr:col>
                    <xdr:colOff>76200</xdr:colOff>
                    <xdr:row>56</xdr:row>
                    <xdr:rowOff>60960</xdr:rowOff>
                  </from>
                  <to>
                    <xdr:col>7</xdr:col>
                    <xdr:colOff>297180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3" r:id="rId90" name="Option Button 87">
              <controlPr defaultSize="0" autoFill="0" autoLine="0" autoPict="0">
                <anchor moveWithCells="1">
                  <from>
                    <xdr:col>9</xdr:col>
                    <xdr:colOff>68580</xdr:colOff>
                    <xdr:row>56</xdr:row>
                    <xdr:rowOff>60960</xdr:rowOff>
                  </from>
                  <to>
                    <xdr:col>9</xdr:col>
                    <xdr:colOff>289560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4" r:id="rId91" name="Option Button 88">
              <controlPr defaultSize="0" autoFill="0" autoLine="0" autoPict="0">
                <anchor moveWithCells="1">
                  <from>
                    <xdr:col>11</xdr:col>
                    <xdr:colOff>60960</xdr:colOff>
                    <xdr:row>56</xdr:row>
                    <xdr:rowOff>60960</xdr:rowOff>
                  </from>
                  <to>
                    <xdr:col>11</xdr:col>
                    <xdr:colOff>281940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5" r:id="rId92" name="Option Button 89">
              <controlPr defaultSize="0" autoFill="0" autoLine="0" autoPict="0">
                <anchor moveWithCells="1">
                  <from>
                    <xdr:col>13</xdr:col>
                    <xdr:colOff>45720</xdr:colOff>
                    <xdr:row>56</xdr:row>
                    <xdr:rowOff>60960</xdr:rowOff>
                  </from>
                  <to>
                    <xdr:col>13</xdr:col>
                    <xdr:colOff>266700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6" r:id="rId93" name="Option Button 90">
              <controlPr defaultSize="0" autoFill="0" autoLine="0" autoPict="0">
                <anchor moveWithCells="1">
                  <from>
                    <xdr:col>15</xdr:col>
                    <xdr:colOff>38100</xdr:colOff>
                    <xdr:row>56</xdr:row>
                    <xdr:rowOff>60960</xdr:rowOff>
                  </from>
                  <to>
                    <xdr:col>15</xdr:col>
                    <xdr:colOff>259080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7" r:id="rId94" name="Group Box 91">
              <controlPr defaultSize="0" print="0" autoFill="0" autoPict="0">
                <anchor moveWithCells="1">
                  <from>
                    <xdr:col>6</xdr:col>
                    <xdr:colOff>68580</xdr:colOff>
                    <xdr:row>61</xdr:row>
                    <xdr:rowOff>30480</xdr:rowOff>
                  </from>
                  <to>
                    <xdr:col>16</xdr:col>
                    <xdr:colOff>76200</xdr:colOff>
                    <xdr:row>61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8" r:id="rId95" name="Option Button 92">
              <controlPr defaultSize="0" autoFill="0" autoLine="0" autoPict="0">
                <anchor moveWithCells="1">
                  <from>
                    <xdr:col>7</xdr:col>
                    <xdr:colOff>76200</xdr:colOff>
                    <xdr:row>61</xdr:row>
                    <xdr:rowOff>60960</xdr:rowOff>
                  </from>
                  <to>
                    <xdr:col>7</xdr:col>
                    <xdr:colOff>297180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9" r:id="rId96" name="Option Button 93">
              <controlPr defaultSize="0" autoFill="0" autoLine="0" autoPict="0">
                <anchor moveWithCells="1">
                  <from>
                    <xdr:col>9</xdr:col>
                    <xdr:colOff>68580</xdr:colOff>
                    <xdr:row>61</xdr:row>
                    <xdr:rowOff>60960</xdr:rowOff>
                  </from>
                  <to>
                    <xdr:col>9</xdr:col>
                    <xdr:colOff>289560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0" r:id="rId97" name="Option Button 94">
              <controlPr defaultSize="0" autoFill="0" autoLine="0" autoPict="0">
                <anchor moveWithCells="1">
                  <from>
                    <xdr:col>11</xdr:col>
                    <xdr:colOff>60960</xdr:colOff>
                    <xdr:row>61</xdr:row>
                    <xdr:rowOff>60960</xdr:rowOff>
                  </from>
                  <to>
                    <xdr:col>11</xdr:col>
                    <xdr:colOff>281940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1" r:id="rId98" name="Option Button 95">
              <controlPr defaultSize="0" autoFill="0" autoLine="0" autoPict="0">
                <anchor moveWithCells="1">
                  <from>
                    <xdr:col>13</xdr:col>
                    <xdr:colOff>45720</xdr:colOff>
                    <xdr:row>61</xdr:row>
                    <xdr:rowOff>60960</xdr:rowOff>
                  </from>
                  <to>
                    <xdr:col>13</xdr:col>
                    <xdr:colOff>266700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2" r:id="rId99" name="Option Button 96">
              <controlPr defaultSize="0" autoFill="0" autoLine="0" autoPict="0">
                <anchor moveWithCells="1">
                  <from>
                    <xdr:col>15</xdr:col>
                    <xdr:colOff>38100</xdr:colOff>
                    <xdr:row>61</xdr:row>
                    <xdr:rowOff>60960</xdr:rowOff>
                  </from>
                  <to>
                    <xdr:col>15</xdr:col>
                    <xdr:colOff>259080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3" r:id="rId100" name="Group Box 97">
              <controlPr defaultSize="0" print="0" autoFill="0" autoPict="0">
                <anchor moveWithCells="1">
                  <from>
                    <xdr:col>6</xdr:col>
                    <xdr:colOff>68580</xdr:colOff>
                    <xdr:row>69</xdr:row>
                    <xdr:rowOff>30480</xdr:rowOff>
                  </from>
                  <to>
                    <xdr:col>16</xdr:col>
                    <xdr:colOff>76200</xdr:colOff>
                    <xdr:row>69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4" r:id="rId101" name="Option Button 98">
              <controlPr defaultSize="0" autoFill="0" autoLine="0" autoPict="0">
                <anchor moveWithCells="1">
                  <from>
                    <xdr:col>7</xdr:col>
                    <xdr:colOff>76200</xdr:colOff>
                    <xdr:row>69</xdr:row>
                    <xdr:rowOff>60960</xdr:rowOff>
                  </from>
                  <to>
                    <xdr:col>7</xdr:col>
                    <xdr:colOff>297180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5" r:id="rId102" name="Option Button 99">
              <controlPr defaultSize="0" autoFill="0" autoLine="0" autoPict="0">
                <anchor moveWithCells="1">
                  <from>
                    <xdr:col>9</xdr:col>
                    <xdr:colOff>68580</xdr:colOff>
                    <xdr:row>69</xdr:row>
                    <xdr:rowOff>60960</xdr:rowOff>
                  </from>
                  <to>
                    <xdr:col>9</xdr:col>
                    <xdr:colOff>289560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6" r:id="rId103" name="Option Button 100">
              <controlPr defaultSize="0" autoFill="0" autoLine="0" autoPict="0">
                <anchor moveWithCells="1">
                  <from>
                    <xdr:col>11</xdr:col>
                    <xdr:colOff>60960</xdr:colOff>
                    <xdr:row>69</xdr:row>
                    <xdr:rowOff>60960</xdr:rowOff>
                  </from>
                  <to>
                    <xdr:col>11</xdr:col>
                    <xdr:colOff>281940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7" r:id="rId104" name="Option Button 101">
              <controlPr defaultSize="0" autoFill="0" autoLine="0" autoPict="0">
                <anchor moveWithCells="1">
                  <from>
                    <xdr:col>13</xdr:col>
                    <xdr:colOff>45720</xdr:colOff>
                    <xdr:row>69</xdr:row>
                    <xdr:rowOff>60960</xdr:rowOff>
                  </from>
                  <to>
                    <xdr:col>13</xdr:col>
                    <xdr:colOff>266700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8" r:id="rId105" name="Option Button 102">
              <controlPr defaultSize="0" autoFill="0" autoLine="0" autoPict="0">
                <anchor moveWithCells="1">
                  <from>
                    <xdr:col>15</xdr:col>
                    <xdr:colOff>38100</xdr:colOff>
                    <xdr:row>69</xdr:row>
                    <xdr:rowOff>60960</xdr:rowOff>
                  </from>
                  <to>
                    <xdr:col>15</xdr:col>
                    <xdr:colOff>259080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9" r:id="rId106" name="Group Box 103">
              <controlPr defaultSize="0" print="0" autoFill="0" autoPict="0">
                <anchor moveWithCells="1">
                  <from>
                    <xdr:col>6</xdr:col>
                    <xdr:colOff>68580</xdr:colOff>
                    <xdr:row>76</xdr:row>
                    <xdr:rowOff>30480</xdr:rowOff>
                  </from>
                  <to>
                    <xdr:col>16</xdr:col>
                    <xdr:colOff>76200</xdr:colOff>
                    <xdr:row>76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0" r:id="rId107" name="Option Button 104">
              <controlPr defaultSize="0" autoFill="0" autoLine="0" autoPict="0">
                <anchor moveWithCells="1">
                  <from>
                    <xdr:col>7</xdr:col>
                    <xdr:colOff>76200</xdr:colOff>
                    <xdr:row>76</xdr:row>
                    <xdr:rowOff>60960</xdr:rowOff>
                  </from>
                  <to>
                    <xdr:col>7</xdr:col>
                    <xdr:colOff>297180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1" r:id="rId108" name="Option Button 105">
              <controlPr defaultSize="0" autoFill="0" autoLine="0" autoPict="0">
                <anchor moveWithCells="1">
                  <from>
                    <xdr:col>9</xdr:col>
                    <xdr:colOff>68580</xdr:colOff>
                    <xdr:row>76</xdr:row>
                    <xdr:rowOff>60960</xdr:rowOff>
                  </from>
                  <to>
                    <xdr:col>9</xdr:col>
                    <xdr:colOff>289560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2" r:id="rId109" name="Option Button 106">
              <controlPr defaultSize="0" autoFill="0" autoLine="0" autoPict="0">
                <anchor moveWithCells="1">
                  <from>
                    <xdr:col>11</xdr:col>
                    <xdr:colOff>60960</xdr:colOff>
                    <xdr:row>76</xdr:row>
                    <xdr:rowOff>60960</xdr:rowOff>
                  </from>
                  <to>
                    <xdr:col>11</xdr:col>
                    <xdr:colOff>281940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3" r:id="rId110" name="Option Button 107">
              <controlPr defaultSize="0" autoFill="0" autoLine="0" autoPict="0">
                <anchor moveWithCells="1">
                  <from>
                    <xdr:col>13</xdr:col>
                    <xdr:colOff>45720</xdr:colOff>
                    <xdr:row>76</xdr:row>
                    <xdr:rowOff>60960</xdr:rowOff>
                  </from>
                  <to>
                    <xdr:col>13</xdr:col>
                    <xdr:colOff>266700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4" r:id="rId111" name="Option Button 108">
              <controlPr defaultSize="0" autoFill="0" autoLine="0" autoPict="0">
                <anchor moveWithCells="1">
                  <from>
                    <xdr:col>15</xdr:col>
                    <xdr:colOff>38100</xdr:colOff>
                    <xdr:row>76</xdr:row>
                    <xdr:rowOff>60960</xdr:rowOff>
                  </from>
                  <to>
                    <xdr:col>15</xdr:col>
                    <xdr:colOff>259080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5" r:id="rId112" name="Group Box 109">
              <controlPr defaultSize="0" print="0" autoFill="0" autoPict="0">
                <anchor moveWithCells="1">
                  <from>
                    <xdr:col>6</xdr:col>
                    <xdr:colOff>68580</xdr:colOff>
                    <xdr:row>14</xdr:row>
                    <xdr:rowOff>7620</xdr:rowOff>
                  </from>
                  <to>
                    <xdr:col>16</xdr:col>
                    <xdr:colOff>76200</xdr:colOff>
                    <xdr:row>14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6" r:id="rId113" name="Option Button 110">
              <controlPr defaultSize="0" autoFill="0" autoLine="0" autoPict="0">
                <anchor moveWithCells="1">
                  <from>
                    <xdr:col>7</xdr:col>
                    <xdr:colOff>76200</xdr:colOff>
                    <xdr:row>14</xdr:row>
                    <xdr:rowOff>45720</xdr:rowOff>
                  </from>
                  <to>
                    <xdr:col>7</xdr:col>
                    <xdr:colOff>297180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7" r:id="rId114" name="Option Button 111">
              <controlPr defaultSize="0" autoFill="0" autoLine="0" autoPict="0">
                <anchor moveWithCells="1">
                  <from>
                    <xdr:col>9</xdr:col>
                    <xdr:colOff>68580</xdr:colOff>
                    <xdr:row>14</xdr:row>
                    <xdr:rowOff>45720</xdr:rowOff>
                  </from>
                  <to>
                    <xdr:col>9</xdr:col>
                    <xdr:colOff>289560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8" r:id="rId115" name="Option Button 112">
              <controlPr defaultSize="0" autoFill="0" autoLine="0" autoPict="0">
                <anchor moveWithCells="1">
                  <from>
                    <xdr:col>11</xdr:col>
                    <xdr:colOff>60960</xdr:colOff>
                    <xdr:row>14</xdr:row>
                    <xdr:rowOff>45720</xdr:rowOff>
                  </from>
                  <to>
                    <xdr:col>11</xdr:col>
                    <xdr:colOff>281940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9" r:id="rId116" name="Option Button 113">
              <controlPr defaultSize="0" autoFill="0" autoLine="0" autoPict="0">
                <anchor moveWithCells="1">
                  <from>
                    <xdr:col>13</xdr:col>
                    <xdr:colOff>53340</xdr:colOff>
                    <xdr:row>14</xdr:row>
                    <xdr:rowOff>45720</xdr:rowOff>
                  </from>
                  <to>
                    <xdr:col>13</xdr:col>
                    <xdr:colOff>266700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0" r:id="rId117" name="Option Button 114">
              <controlPr defaultSize="0" autoFill="0" autoLine="0" autoPict="0">
                <anchor moveWithCells="1">
                  <from>
                    <xdr:col>15</xdr:col>
                    <xdr:colOff>38100</xdr:colOff>
                    <xdr:row>14</xdr:row>
                    <xdr:rowOff>45720</xdr:rowOff>
                  </from>
                  <to>
                    <xdr:col>15</xdr:col>
                    <xdr:colOff>259080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1" r:id="rId118" name="Group Box 115">
              <controlPr defaultSize="0" print="0" autoFill="0" autoPict="0">
                <anchor mov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16</xdr:col>
                    <xdr:colOff>76200</xdr:colOff>
                    <xdr:row>15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2" r:id="rId119" name="Option Button 116">
              <controlPr defaultSize="0" autoFill="0" autoLine="0" autoPict="0">
                <anchor moveWithCells="1">
                  <from>
                    <xdr:col>7</xdr:col>
                    <xdr:colOff>76200</xdr:colOff>
                    <xdr:row>15</xdr:row>
                    <xdr:rowOff>45720</xdr:rowOff>
                  </from>
                  <to>
                    <xdr:col>7</xdr:col>
                    <xdr:colOff>297180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3" r:id="rId120" name="Option Button 117">
              <controlPr defaultSize="0" autoFill="0" autoLine="0" autoPict="0">
                <anchor moveWithCells="1">
                  <from>
                    <xdr:col>9</xdr:col>
                    <xdr:colOff>68580</xdr:colOff>
                    <xdr:row>15</xdr:row>
                    <xdr:rowOff>45720</xdr:rowOff>
                  </from>
                  <to>
                    <xdr:col>9</xdr:col>
                    <xdr:colOff>289560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4" r:id="rId121" name="Option Button 118">
              <controlPr defaultSize="0" autoFill="0" autoLine="0" autoPict="0">
                <anchor moveWithCells="1">
                  <from>
                    <xdr:col>11</xdr:col>
                    <xdr:colOff>60960</xdr:colOff>
                    <xdr:row>15</xdr:row>
                    <xdr:rowOff>45720</xdr:rowOff>
                  </from>
                  <to>
                    <xdr:col>11</xdr:col>
                    <xdr:colOff>281940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5" r:id="rId122" name="Option Button 119">
              <controlPr defaultSize="0" autoFill="0" autoLine="0" autoPict="0">
                <anchor moveWithCells="1">
                  <from>
                    <xdr:col>13</xdr:col>
                    <xdr:colOff>53340</xdr:colOff>
                    <xdr:row>15</xdr:row>
                    <xdr:rowOff>45720</xdr:rowOff>
                  </from>
                  <to>
                    <xdr:col>13</xdr:col>
                    <xdr:colOff>266700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6" r:id="rId123" name="Option Button 120">
              <controlPr defaultSize="0" autoFill="0" autoLine="0" autoPict="0">
                <anchor moveWithCells="1">
                  <from>
                    <xdr:col>15</xdr:col>
                    <xdr:colOff>38100</xdr:colOff>
                    <xdr:row>15</xdr:row>
                    <xdr:rowOff>45720</xdr:rowOff>
                  </from>
                  <to>
                    <xdr:col>15</xdr:col>
                    <xdr:colOff>259080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7" r:id="rId124" name="Group Box 121">
              <controlPr defaultSize="0" print="0" autoFill="0" autoPict="0">
                <anchor mov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16</xdr:col>
                    <xdr:colOff>76200</xdr:colOff>
                    <xdr:row>16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8" r:id="rId125" name="Option Button 122">
              <controlPr defaultSize="0" autoFill="0" autoLine="0" autoPict="0">
                <anchor moveWithCells="1">
                  <from>
                    <xdr:col>7</xdr:col>
                    <xdr:colOff>76200</xdr:colOff>
                    <xdr:row>16</xdr:row>
                    <xdr:rowOff>45720</xdr:rowOff>
                  </from>
                  <to>
                    <xdr:col>7</xdr:col>
                    <xdr:colOff>297180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9" r:id="rId126" name="Option Button 123">
              <controlPr defaultSize="0" autoFill="0" autoLine="0" autoPict="0">
                <anchor moveWithCells="1">
                  <from>
                    <xdr:col>9</xdr:col>
                    <xdr:colOff>68580</xdr:colOff>
                    <xdr:row>16</xdr:row>
                    <xdr:rowOff>45720</xdr:rowOff>
                  </from>
                  <to>
                    <xdr:col>9</xdr:col>
                    <xdr:colOff>289560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0" r:id="rId127" name="Option Button 124">
              <controlPr defaultSize="0" autoFill="0" autoLine="0" autoPict="0">
                <anchor moveWithCells="1">
                  <from>
                    <xdr:col>11</xdr:col>
                    <xdr:colOff>60960</xdr:colOff>
                    <xdr:row>16</xdr:row>
                    <xdr:rowOff>45720</xdr:rowOff>
                  </from>
                  <to>
                    <xdr:col>11</xdr:col>
                    <xdr:colOff>281940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1" r:id="rId128" name="Option Button 125">
              <controlPr defaultSize="0" autoFill="0" autoLine="0" autoPict="0">
                <anchor moveWithCells="1">
                  <from>
                    <xdr:col>13</xdr:col>
                    <xdr:colOff>53340</xdr:colOff>
                    <xdr:row>16</xdr:row>
                    <xdr:rowOff>45720</xdr:rowOff>
                  </from>
                  <to>
                    <xdr:col>13</xdr:col>
                    <xdr:colOff>266700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2" r:id="rId129" name="Option Button 126">
              <controlPr defaultSize="0" autoFill="0" autoLine="0" autoPict="0">
                <anchor moveWithCells="1">
                  <from>
                    <xdr:col>15</xdr:col>
                    <xdr:colOff>38100</xdr:colOff>
                    <xdr:row>16</xdr:row>
                    <xdr:rowOff>45720</xdr:rowOff>
                  </from>
                  <to>
                    <xdr:col>15</xdr:col>
                    <xdr:colOff>259080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3" r:id="rId130" name="Group Box 127">
              <controlPr defaultSize="0" print="0" autoFill="0" autoPict="0">
                <anchor moveWithCells="1">
                  <from>
                    <xdr:col>6</xdr:col>
                    <xdr:colOff>68580</xdr:colOff>
                    <xdr:row>18</xdr:row>
                    <xdr:rowOff>7620</xdr:rowOff>
                  </from>
                  <to>
                    <xdr:col>16</xdr:col>
                    <xdr:colOff>76200</xdr:colOff>
                    <xdr:row>18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4" r:id="rId131" name="Option Button 128">
              <controlPr defaultSize="0" autoFill="0" autoLine="0" autoPict="0">
                <anchor moveWithCells="1">
                  <from>
                    <xdr:col>7</xdr:col>
                    <xdr:colOff>76200</xdr:colOff>
                    <xdr:row>18</xdr:row>
                    <xdr:rowOff>45720</xdr:rowOff>
                  </from>
                  <to>
                    <xdr:col>7</xdr:col>
                    <xdr:colOff>297180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5" r:id="rId132" name="Option Button 129">
              <controlPr defaultSize="0" autoFill="0" autoLine="0" autoPict="0">
                <anchor moveWithCells="1">
                  <from>
                    <xdr:col>9</xdr:col>
                    <xdr:colOff>68580</xdr:colOff>
                    <xdr:row>18</xdr:row>
                    <xdr:rowOff>45720</xdr:rowOff>
                  </from>
                  <to>
                    <xdr:col>9</xdr:col>
                    <xdr:colOff>289560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6" r:id="rId133" name="Option Button 130">
              <controlPr defaultSize="0" autoFill="0" autoLine="0" autoPict="0">
                <anchor moveWithCells="1">
                  <from>
                    <xdr:col>11</xdr:col>
                    <xdr:colOff>60960</xdr:colOff>
                    <xdr:row>18</xdr:row>
                    <xdr:rowOff>45720</xdr:rowOff>
                  </from>
                  <to>
                    <xdr:col>11</xdr:col>
                    <xdr:colOff>281940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7" r:id="rId134" name="Option Button 131">
              <controlPr defaultSize="0" autoFill="0" autoLine="0" autoPict="0">
                <anchor moveWithCells="1">
                  <from>
                    <xdr:col>13</xdr:col>
                    <xdr:colOff>53340</xdr:colOff>
                    <xdr:row>18</xdr:row>
                    <xdr:rowOff>45720</xdr:rowOff>
                  </from>
                  <to>
                    <xdr:col>13</xdr:col>
                    <xdr:colOff>266700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8" r:id="rId135" name="Option Button 132">
              <controlPr defaultSize="0" autoFill="0" autoLine="0" autoPict="0">
                <anchor moveWithCells="1">
                  <from>
                    <xdr:col>15</xdr:col>
                    <xdr:colOff>38100</xdr:colOff>
                    <xdr:row>18</xdr:row>
                    <xdr:rowOff>45720</xdr:rowOff>
                  </from>
                  <to>
                    <xdr:col>15</xdr:col>
                    <xdr:colOff>259080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9" r:id="rId136" name="Group Box 133">
              <controlPr defaultSize="0" print="0" autoFill="0" autoPict="0">
                <anchor moveWithCells="1">
                  <from>
                    <xdr:col>6</xdr:col>
                    <xdr:colOff>68580</xdr:colOff>
                    <xdr:row>19</xdr:row>
                    <xdr:rowOff>7620</xdr:rowOff>
                  </from>
                  <to>
                    <xdr:col>16</xdr:col>
                    <xdr:colOff>76200</xdr:colOff>
                    <xdr:row>19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0" r:id="rId137" name="Option Button 134">
              <controlPr defaultSize="0" autoFill="0" autoLine="0" autoPict="0">
                <anchor moveWithCells="1">
                  <from>
                    <xdr:col>7</xdr:col>
                    <xdr:colOff>76200</xdr:colOff>
                    <xdr:row>19</xdr:row>
                    <xdr:rowOff>45720</xdr:rowOff>
                  </from>
                  <to>
                    <xdr:col>7</xdr:col>
                    <xdr:colOff>297180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1" r:id="rId138" name="Option Button 135">
              <controlPr defaultSize="0" autoFill="0" autoLine="0" autoPict="0">
                <anchor moveWithCells="1">
                  <from>
                    <xdr:col>9</xdr:col>
                    <xdr:colOff>68580</xdr:colOff>
                    <xdr:row>19</xdr:row>
                    <xdr:rowOff>45720</xdr:rowOff>
                  </from>
                  <to>
                    <xdr:col>9</xdr:col>
                    <xdr:colOff>289560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2" r:id="rId139" name="Option Button 136">
              <controlPr defaultSize="0" autoFill="0" autoLine="0" autoPict="0">
                <anchor moveWithCells="1">
                  <from>
                    <xdr:col>11</xdr:col>
                    <xdr:colOff>60960</xdr:colOff>
                    <xdr:row>19</xdr:row>
                    <xdr:rowOff>45720</xdr:rowOff>
                  </from>
                  <to>
                    <xdr:col>11</xdr:col>
                    <xdr:colOff>281940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3" r:id="rId140" name="Option Button 137">
              <controlPr defaultSize="0" autoFill="0" autoLine="0" autoPict="0">
                <anchor moveWithCells="1">
                  <from>
                    <xdr:col>13</xdr:col>
                    <xdr:colOff>53340</xdr:colOff>
                    <xdr:row>19</xdr:row>
                    <xdr:rowOff>45720</xdr:rowOff>
                  </from>
                  <to>
                    <xdr:col>13</xdr:col>
                    <xdr:colOff>266700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4" r:id="rId141" name="Option Button 138">
              <controlPr defaultSize="0" autoFill="0" autoLine="0" autoPict="0">
                <anchor moveWithCells="1">
                  <from>
                    <xdr:col>15</xdr:col>
                    <xdr:colOff>38100</xdr:colOff>
                    <xdr:row>19</xdr:row>
                    <xdr:rowOff>45720</xdr:rowOff>
                  </from>
                  <to>
                    <xdr:col>15</xdr:col>
                    <xdr:colOff>259080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5" r:id="rId142" name="Group Box 139">
              <controlPr defaultSize="0" print="0" autoFill="0" autoPict="0">
                <anchor moveWithCells="1">
                  <from>
                    <xdr:col>6</xdr:col>
                    <xdr:colOff>68580</xdr:colOff>
                    <xdr:row>20</xdr:row>
                    <xdr:rowOff>7620</xdr:rowOff>
                  </from>
                  <to>
                    <xdr:col>16</xdr:col>
                    <xdr:colOff>76200</xdr:colOff>
                    <xdr:row>20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6" r:id="rId143" name="Option Button 140">
              <controlPr defaultSize="0" autoFill="0" autoLine="0" autoPict="0">
                <anchor moveWithCells="1">
                  <from>
                    <xdr:col>7</xdr:col>
                    <xdr:colOff>76200</xdr:colOff>
                    <xdr:row>20</xdr:row>
                    <xdr:rowOff>45720</xdr:rowOff>
                  </from>
                  <to>
                    <xdr:col>7</xdr:col>
                    <xdr:colOff>297180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7" r:id="rId144" name="Option Button 141">
              <controlPr defaultSize="0" autoFill="0" autoLine="0" autoPict="0">
                <anchor moveWithCells="1">
                  <from>
                    <xdr:col>9</xdr:col>
                    <xdr:colOff>68580</xdr:colOff>
                    <xdr:row>20</xdr:row>
                    <xdr:rowOff>45720</xdr:rowOff>
                  </from>
                  <to>
                    <xdr:col>9</xdr:col>
                    <xdr:colOff>289560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8" r:id="rId145" name="Option Button 142">
              <controlPr defaultSize="0" autoFill="0" autoLine="0" autoPict="0">
                <anchor moveWithCells="1">
                  <from>
                    <xdr:col>11</xdr:col>
                    <xdr:colOff>60960</xdr:colOff>
                    <xdr:row>20</xdr:row>
                    <xdr:rowOff>45720</xdr:rowOff>
                  </from>
                  <to>
                    <xdr:col>11</xdr:col>
                    <xdr:colOff>281940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9" r:id="rId146" name="Option Button 143">
              <controlPr defaultSize="0" autoFill="0" autoLine="0" autoPict="0">
                <anchor moveWithCells="1">
                  <from>
                    <xdr:col>13</xdr:col>
                    <xdr:colOff>53340</xdr:colOff>
                    <xdr:row>20</xdr:row>
                    <xdr:rowOff>45720</xdr:rowOff>
                  </from>
                  <to>
                    <xdr:col>13</xdr:col>
                    <xdr:colOff>266700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0" r:id="rId147" name="Option Button 144">
              <controlPr defaultSize="0" autoFill="0" autoLine="0" autoPict="0">
                <anchor moveWithCells="1">
                  <from>
                    <xdr:col>15</xdr:col>
                    <xdr:colOff>38100</xdr:colOff>
                    <xdr:row>20</xdr:row>
                    <xdr:rowOff>45720</xdr:rowOff>
                  </from>
                  <to>
                    <xdr:col>15</xdr:col>
                    <xdr:colOff>259080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1" r:id="rId148" name="Group Box 145">
              <controlPr defaultSize="0" print="0" autoFill="0" autoPict="0">
                <anchor moveWithCells="1">
                  <from>
                    <xdr:col>6</xdr:col>
                    <xdr:colOff>68580</xdr:colOff>
                    <xdr:row>21</xdr:row>
                    <xdr:rowOff>0</xdr:rowOff>
                  </from>
                  <to>
                    <xdr:col>16</xdr:col>
                    <xdr:colOff>76200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2" r:id="rId149" name="Option Button 146">
              <controlPr defaultSize="0" autoFill="0" autoLine="0" autoPict="0">
                <anchor moveWithCells="1">
                  <from>
                    <xdr:col>7</xdr:col>
                    <xdr:colOff>76200</xdr:colOff>
                    <xdr:row>21</xdr:row>
                    <xdr:rowOff>30480</xdr:rowOff>
                  </from>
                  <to>
                    <xdr:col>7</xdr:col>
                    <xdr:colOff>297180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3" r:id="rId150" name="Option Button 147">
              <controlPr defaultSize="0" autoFill="0" autoLine="0" autoPict="0">
                <anchor moveWithCells="1">
                  <from>
                    <xdr:col>9</xdr:col>
                    <xdr:colOff>68580</xdr:colOff>
                    <xdr:row>21</xdr:row>
                    <xdr:rowOff>30480</xdr:rowOff>
                  </from>
                  <to>
                    <xdr:col>9</xdr:col>
                    <xdr:colOff>289560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4" r:id="rId151" name="Option Button 148">
              <controlPr defaultSize="0" autoFill="0" autoLine="0" autoPict="0">
                <anchor moveWithCells="1">
                  <from>
                    <xdr:col>11</xdr:col>
                    <xdr:colOff>60960</xdr:colOff>
                    <xdr:row>21</xdr:row>
                    <xdr:rowOff>30480</xdr:rowOff>
                  </from>
                  <to>
                    <xdr:col>11</xdr:col>
                    <xdr:colOff>281940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5" r:id="rId152" name="Option Button 149">
              <controlPr defaultSize="0" autoFill="0" autoLine="0" autoPict="0">
                <anchor moveWithCells="1">
                  <from>
                    <xdr:col>13</xdr:col>
                    <xdr:colOff>53340</xdr:colOff>
                    <xdr:row>21</xdr:row>
                    <xdr:rowOff>30480</xdr:rowOff>
                  </from>
                  <to>
                    <xdr:col>13</xdr:col>
                    <xdr:colOff>266700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6" r:id="rId153" name="Option Button 150">
              <controlPr defaultSize="0" autoFill="0" autoLine="0" autoPict="0">
                <anchor moveWithCells="1">
                  <from>
                    <xdr:col>15</xdr:col>
                    <xdr:colOff>38100</xdr:colOff>
                    <xdr:row>21</xdr:row>
                    <xdr:rowOff>30480</xdr:rowOff>
                  </from>
                  <to>
                    <xdr:col>15</xdr:col>
                    <xdr:colOff>259080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7" r:id="rId154" name="Group Box 151">
              <controlPr defaultSize="0" print="0" autoFill="0" autoPict="0">
                <anchor moveWithCells="1">
                  <from>
                    <xdr:col>6</xdr:col>
                    <xdr:colOff>68580</xdr:colOff>
                    <xdr:row>22</xdr:row>
                    <xdr:rowOff>0</xdr:rowOff>
                  </from>
                  <to>
                    <xdr:col>16</xdr:col>
                    <xdr:colOff>76200</xdr:colOff>
                    <xdr:row>22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8" r:id="rId155" name="Option Button 152">
              <controlPr defaultSize="0" autoFill="0" autoLine="0" autoPict="0">
                <anchor moveWithCells="1">
                  <from>
                    <xdr:col>7</xdr:col>
                    <xdr:colOff>76200</xdr:colOff>
                    <xdr:row>22</xdr:row>
                    <xdr:rowOff>30480</xdr:rowOff>
                  </from>
                  <to>
                    <xdr:col>7</xdr:col>
                    <xdr:colOff>297180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9" r:id="rId156" name="Option Button 153">
              <controlPr defaultSize="0" autoFill="0" autoLine="0" autoPict="0">
                <anchor moveWithCells="1">
                  <from>
                    <xdr:col>9</xdr:col>
                    <xdr:colOff>68580</xdr:colOff>
                    <xdr:row>22</xdr:row>
                    <xdr:rowOff>30480</xdr:rowOff>
                  </from>
                  <to>
                    <xdr:col>9</xdr:col>
                    <xdr:colOff>289560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0" r:id="rId157" name="Option Button 154">
              <controlPr defaultSize="0" autoFill="0" autoLine="0" autoPict="0">
                <anchor moveWithCells="1">
                  <from>
                    <xdr:col>11</xdr:col>
                    <xdr:colOff>60960</xdr:colOff>
                    <xdr:row>22</xdr:row>
                    <xdr:rowOff>30480</xdr:rowOff>
                  </from>
                  <to>
                    <xdr:col>11</xdr:col>
                    <xdr:colOff>281940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1" r:id="rId158" name="Option Button 155">
              <controlPr defaultSize="0" autoFill="0" autoLine="0" autoPict="0">
                <anchor moveWithCells="1">
                  <from>
                    <xdr:col>13</xdr:col>
                    <xdr:colOff>53340</xdr:colOff>
                    <xdr:row>22</xdr:row>
                    <xdr:rowOff>30480</xdr:rowOff>
                  </from>
                  <to>
                    <xdr:col>13</xdr:col>
                    <xdr:colOff>266700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2" r:id="rId159" name="Option Button 156">
              <controlPr defaultSize="0" autoFill="0" autoLine="0" autoPict="0">
                <anchor moveWithCells="1">
                  <from>
                    <xdr:col>15</xdr:col>
                    <xdr:colOff>38100</xdr:colOff>
                    <xdr:row>22</xdr:row>
                    <xdr:rowOff>30480</xdr:rowOff>
                  </from>
                  <to>
                    <xdr:col>15</xdr:col>
                    <xdr:colOff>259080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3" r:id="rId160" name="Group Box 157">
              <controlPr defaultSize="0" print="0" autoFill="0" autoPict="0">
                <anchor moveWithCells="1">
                  <from>
                    <xdr:col>6</xdr:col>
                    <xdr:colOff>68580</xdr:colOff>
                    <xdr:row>27</xdr:row>
                    <xdr:rowOff>15240</xdr:rowOff>
                  </from>
                  <to>
                    <xdr:col>16</xdr:col>
                    <xdr:colOff>76200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4" r:id="rId161" name="Option Button 158">
              <controlPr defaultSize="0" autoFill="0" autoLine="0" autoPict="0">
                <anchor moveWithCells="1">
                  <from>
                    <xdr:col>7</xdr:col>
                    <xdr:colOff>76200</xdr:colOff>
                    <xdr:row>27</xdr:row>
                    <xdr:rowOff>45720</xdr:rowOff>
                  </from>
                  <to>
                    <xdr:col>7</xdr:col>
                    <xdr:colOff>297180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5" r:id="rId162" name="Option Button 159">
              <controlPr defaultSize="0" autoFill="0" autoLine="0" autoPict="0">
                <anchor moveWithCells="1">
                  <from>
                    <xdr:col>9</xdr:col>
                    <xdr:colOff>68580</xdr:colOff>
                    <xdr:row>27</xdr:row>
                    <xdr:rowOff>45720</xdr:rowOff>
                  </from>
                  <to>
                    <xdr:col>9</xdr:col>
                    <xdr:colOff>289560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6" r:id="rId163" name="Option Button 160">
              <controlPr defaultSize="0" autoFill="0" autoLine="0" autoPict="0">
                <anchor moveWithCells="1">
                  <from>
                    <xdr:col>11</xdr:col>
                    <xdr:colOff>60960</xdr:colOff>
                    <xdr:row>27</xdr:row>
                    <xdr:rowOff>45720</xdr:rowOff>
                  </from>
                  <to>
                    <xdr:col>11</xdr:col>
                    <xdr:colOff>281940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7" r:id="rId164" name="Option Button 161">
              <controlPr defaultSize="0" autoFill="0" autoLine="0" autoPict="0">
                <anchor moveWithCells="1">
                  <from>
                    <xdr:col>13</xdr:col>
                    <xdr:colOff>53340</xdr:colOff>
                    <xdr:row>27</xdr:row>
                    <xdr:rowOff>45720</xdr:rowOff>
                  </from>
                  <to>
                    <xdr:col>13</xdr:col>
                    <xdr:colOff>266700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8" r:id="rId165" name="Option Button 162">
              <controlPr defaultSize="0" autoFill="0" autoLine="0" autoPict="0">
                <anchor moveWithCells="1">
                  <from>
                    <xdr:col>15</xdr:col>
                    <xdr:colOff>38100</xdr:colOff>
                    <xdr:row>27</xdr:row>
                    <xdr:rowOff>45720</xdr:rowOff>
                  </from>
                  <to>
                    <xdr:col>15</xdr:col>
                    <xdr:colOff>259080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9" r:id="rId166" name="Group Box 163">
              <controlPr defaultSize="0" print="0" autoFill="0" autoPict="0">
                <anchor mov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16</xdr:col>
                    <xdr:colOff>76200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0" r:id="rId167" name="Option Button 164">
              <controlPr defaultSize="0" autoFill="0" autoLine="0" autoPict="0">
                <anchor moveWithCells="1">
                  <from>
                    <xdr:col>7</xdr:col>
                    <xdr:colOff>76200</xdr:colOff>
                    <xdr:row>28</xdr:row>
                    <xdr:rowOff>38100</xdr:rowOff>
                  </from>
                  <to>
                    <xdr:col>7</xdr:col>
                    <xdr:colOff>297180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1" r:id="rId168" name="Option Button 165">
              <controlPr defaultSize="0" autoFill="0" autoLine="0" autoPict="0">
                <anchor moveWithCells="1">
                  <from>
                    <xdr:col>9</xdr:col>
                    <xdr:colOff>68580</xdr:colOff>
                    <xdr:row>28</xdr:row>
                    <xdr:rowOff>38100</xdr:rowOff>
                  </from>
                  <to>
                    <xdr:col>9</xdr:col>
                    <xdr:colOff>289560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2" r:id="rId169" name="Option Button 166">
              <controlPr defaultSize="0" autoFill="0" autoLine="0" autoPict="0">
                <anchor moveWithCells="1">
                  <from>
                    <xdr:col>11</xdr:col>
                    <xdr:colOff>60960</xdr:colOff>
                    <xdr:row>28</xdr:row>
                    <xdr:rowOff>38100</xdr:rowOff>
                  </from>
                  <to>
                    <xdr:col>11</xdr:col>
                    <xdr:colOff>281940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3" r:id="rId170" name="Option Button 167">
              <controlPr defaultSize="0" autoFill="0" autoLine="0" autoPict="0">
                <anchor moveWithCells="1">
                  <from>
                    <xdr:col>13</xdr:col>
                    <xdr:colOff>53340</xdr:colOff>
                    <xdr:row>28</xdr:row>
                    <xdr:rowOff>38100</xdr:rowOff>
                  </from>
                  <to>
                    <xdr:col>13</xdr:col>
                    <xdr:colOff>266700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4" r:id="rId171" name="Option Button 168">
              <controlPr defaultSize="0" autoFill="0" autoLine="0" autoPict="0">
                <anchor moveWithCells="1">
                  <from>
                    <xdr:col>15</xdr:col>
                    <xdr:colOff>38100</xdr:colOff>
                    <xdr:row>28</xdr:row>
                    <xdr:rowOff>38100</xdr:rowOff>
                  </from>
                  <to>
                    <xdr:col>15</xdr:col>
                    <xdr:colOff>259080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5" r:id="rId172" name="Group Box 169">
              <controlPr defaultSize="0" print="0" autoFill="0" autoPict="0">
                <anchor moveWithCells="1">
                  <from>
                    <xdr:col>6</xdr:col>
                    <xdr:colOff>68580</xdr:colOff>
                    <xdr:row>31</xdr:row>
                    <xdr:rowOff>7620</xdr:rowOff>
                  </from>
                  <to>
                    <xdr:col>16</xdr:col>
                    <xdr:colOff>76200</xdr:colOff>
                    <xdr:row>31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6" r:id="rId173" name="Option Button 170">
              <controlPr defaultSize="0" autoFill="0" autoLine="0" autoPict="0">
                <anchor moveWithCells="1">
                  <from>
                    <xdr:col>7</xdr:col>
                    <xdr:colOff>76200</xdr:colOff>
                    <xdr:row>31</xdr:row>
                    <xdr:rowOff>45720</xdr:rowOff>
                  </from>
                  <to>
                    <xdr:col>7</xdr:col>
                    <xdr:colOff>297180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7" r:id="rId174" name="Option Button 171">
              <controlPr defaultSize="0" autoFill="0" autoLine="0" autoPict="0">
                <anchor moveWithCells="1">
                  <from>
                    <xdr:col>9</xdr:col>
                    <xdr:colOff>68580</xdr:colOff>
                    <xdr:row>31</xdr:row>
                    <xdr:rowOff>45720</xdr:rowOff>
                  </from>
                  <to>
                    <xdr:col>9</xdr:col>
                    <xdr:colOff>289560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8" r:id="rId175" name="Option Button 172">
              <controlPr defaultSize="0" autoFill="0" autoLine="0" autoPict="0">
                <anchor moveWithCells="1">
                  <from>
                    <xdr:col>11</xdr:col>
                    <xdr:colOff>60960</xdr:colOff>
                    <xdr:row>31</xdr:row>
                    <xdr:rowOff>45720</xdr:rowOff>
                  </from>
                  <to>
                    <xdr:col>11</xdr:col>
                    <xdr:colOff>281940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9" r:id="rId176" name="Option Button 173">
              <controlPr defaultSize="0" autoFill="0" autoLine="0" autoPict="0">
                <anchor moveWithCells="1">
                  <from>
                    <xdr:col>13</xdr:col>
                    <xdr:colOff>53340</xdr:colOff>
                    <xdr:row>31</xdr:row>
                    <xdr:rowOff>45720</xdr:rowOff>
                  </from>
                  <to>
                    <xdr:col>13</xdr:col>
                    <xdr:colOff>266700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0" r:id="rId177" name="Option Button 174">
              <controlPr defaultSize="0" autoFill="0" autoLine="0" autoPict="0">
                <anchor moveWithCells="1">
                  <from>
                    <xdr:col>15</xdr:col>
                    <xdr:colOff>38100</xdr:colOff>
                    <xdr:row>31</xdr:row>
                    <xdr:rowOff>45720</xdr:rowOff>
                  </from>
                  <to>
                    <xdr:col>15</xdr:col>
                    <xdr:colOff>259080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1" r:id="rId178" name="Group Box 175">
              <controlPr defaultSize="0" print="0" autoFill="0" autoPict="0">
                <anchor moveWithCells="1">
                  <from>
                    <xdr:col>6</xdr:col>
                    <xdr:colOff>68580</xdr:colOff>
                    <xdr:row>32</xdr:row>
                    <xdr:rowOff>0</xdr:rowOff>
                  </from>
                  <to>
                    <xdr:col>16</xdr:col>
                    <xdr:colOff>76200</xdr:colOff>
                    <xdr:row>32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2" r:id="rId179" name="Option Button 176">
              <controlPr defaultSize="0" autoFill="0" autoLine="0" autoPict="0">
                <anchor moveWithCells="1">
                  <from>
                    <xdr:col>7</xdr:col>
                    <xdr:colOff>76200</xdr:colOff>
                    <xdr:row>32</xdr:row>
                    <xdr:rowOff>30480</xdr:rowOff>
                  </from>
                  <to>
                    <xdr:col>7</xdr:col>
                    <xdr:colOff>297180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3" r:id="rId180" name="Option Button 177">
              <controlPr defaultSize="0" autoFill="0" autoLine="0" autoPict="0">
                <anchor moveWithCells="1">
                  <from>
                    <xdr:col>9</xdr:col>
                    <xdr:colOff>68580</xdr:colOff>
                    <xdr:row>32</xdr:row>
                    <xdr:rowOff>30480</xdr:rowOff>
                  </from>
                  <to>
                    <xdr:col>9</xdr:col>
                    <xdr:colOff>289560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4" r:id="rId181" name="Option Button 178">
              <controlPr defaultSize="0" autoFill="0" autoLine="0" autoPict="0">
                <anchor moveWithCells="1">
                  <from>
                    <xdr:col>11</xdr:col>
                    <xdr:colOff>60960</xdr:colOff>
                    <xdr:row>32</xdr:row>
                    <xdr:rowOff>30480</xdr:rowOff>
                  </from>
                  <to>
                    <xdr:col>11</xdr:col>
                    <xdr:colOff>281940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5" r:id="rId182" name="Option Button 179">
              <controlPr defaultSize="0" autoFill="0" autoLine="0" autoPict="0">
                <anchor moveWithCells="1">
                  <from>
                    <xdr:col>13</xdr:col>
                    <xdr:colOff>53340</xdr:colOff>
                    <xdr:row>32</xdr:row>
                    <xdr:rowOff>30480</xdr:rowOff>
                  </from>
                  <to>
                    <xdr:col>13</xdr:col>
                    <xdr:colOff>266700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6" r:id="rId183" name="Option Button 180">
              <controlPr defaultSize="0" autoFill="0" autoLine="0" autoPict="0">
                <anchor moveWithCells="1">
                  <from>
                    <xdr:col>15</xdr:col>
                    <xdr:colOff>38100</xdr:colOff>
                    <xdr:row>32</xdr:row>
                    <xdr:rowOff>30480</xdr:rowOff>
                  </from>
                  <to>
                    <xdr:col>15</xdr:col>
                    <xdr:colOff>259080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7" r:id="rId184" name="Group Box 181">
              <controlPr defaultSize="0" print="0" autoFill="0" autoPict="0">
                <anchor moveWithCells="1">
                  <from>
                    <xdr:col>6</xdr:col>
                    <xdr:colOff>68580</xdr:colOff>
                    <xdr:row>33</xdr:row>
                    <xdr:rowOff>22860</xdr:rowOff>
                  </from>
                  <to>
                    <xdr:col>16</xdr:col>
                    <xdr:colOff>76200</xdr:colOff>
                    <xdr:row>33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8" r:id="rId185" name="Option Button 182">
              <controlPr defaultSize="0" autoFill="0" autoLine="0" autoPict="0">
                <anchor moveWithCells="1">
                  <from>
                    <xdr:col>7</xdr:col>
                    <xdr:colOff>76200</xdr:colOff>
                    <xdr:row>33</xdr:row>
                    <xdr:rowOff>53340</xdr:rowOff>
                  </from>
                  <to>
                    <xdr:col>7</xdr:col>
                    <xdr:colOff>297180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9" r:id="rId186" name="Option Button 183">
              <controlPr defaultSize="0" autoFill="0" autoLine="0" autoPict="0">
                <anchor moveWithCells="1">
                  <from>
                    <xdr:col>9</xdr:col>
                    <xdr:colOff>68580</xdr:colOff>
                    <xdr:row>33</xdr:row>
                    <xdr:rowOff>53340</xdr:rowOff>
                  </from>
                  <to>
                    <xdr:col>9</xdr:col>
                    <xdr:colOff>289560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0" r:id="rId187" name="Option Button 184">
              <controlPr defaultSize="0" autoFill="0" autoLine="0" autoPict="0">
                <anchor moveWithCells="1">
                  <from>
                    <xdr:col>11</xdr:col>
                    <xdr:colOff>60960</xdr:colOff>
                    <xdr:row>33</xdr:row>
                    <xdr:rowOff>53340</xdr:rowOff>
                  </from>
                  <to>
                    <xdr:col>11</xdr:col>
                    <xdr:colOff>281940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1" r:id="rId188" name="Option Button 185">
              <controlPr defaultSize="0" autoFill="0" autoLine="0" autoPict="0">
                <anchor moveWithCells="1">
                  <from>
                    <xdr:col>13</xdr:col>
                    <xdr:colOff>53340</xdr:colOff>
                    <xdr:row>33</xdr:row>
                    <xdr:rowOff>53340</xdr:rowOff>
                  </from>
                  <to>
                    <xdr:col>13</xdr:col>
                    <xdr:colOff>266700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2" r:id="rId189" name="Option Button 186">
              <controlPr defaultSize="0" autoFill="0" autoLine="0" autoPict="0">
                <anchor moveWithCells="1">
                  <from>
                    <xdr:col>15</xdr:col>
                    <xdr:colOff>38100</xdr:colOff>
                    <xdr:row>33</xdr:row>
                    <xdr:rowOff>53340</xdr:rowOff>
                  </from>
                  <to>
                    <xdr:col>15</xdr:col>
                    <xdr:colOff>259080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3" r:id="rId190" name="Group Box 187">
              <controlPr defaultSize="0" print="0" autoFill="0" autoPict="0">
                <anchor moveWithCells="1">
                  <from>
                    <xdr:col>6</xdr:col>
                    <xdr:colOff>68580</xdr:colOff>
                    <xdr:row>34</xdr:row>
                    <xdr:rowOff>7620</xdr:rowOff>
                  </from>
                  <to>
                    <xdr:col>16</xdr:col>
                    <xdr:colOff>76200</xdr:colOff>
                    <xdr:row>34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4" r:id="rId191" name="Option Button 188">
              <controlPr defaultSize="0" autoFill="0" autoLine="0" autoPict="0">
                <anchor moveWithCells="1">
                  <from>
                    <xdr:col>7</xdr:col>
                    <xdr:colOff>76200</xdr:colOff>
                    <xdr:row>34</xdr:row>
                    <xdr:rowOff>45720</xdr:rowOff>
                  </from>
                  <to>
                    <xdr:col>7</xdr:col>
                    <xdr:colOff>297180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5" r:id="rId192" name="Option Button 189">
              <controlPr defaultSize="0" autoFill="0" autoLine="0" autoPict="0">
                <anchor moveWithCells="1">
                  <from>
                    <xdr:col>9</xdr:col>
                    <xdr:colOff>68580</xdr:colOff>
                    <xdr:row>34</xdr:row>
                    <xdr:rowOff>45720</xdr:rowOff>
                  </from>
                  <to>
                    <xdr:col>9</xdr:col>
                    <xdr:colOff>289560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6" r:id="rId193" name="Option Button 190">
              <controlPr defaultSize="0" autoFill="0" autoLine="0" autoPict="0">
                <anchor moveWithCells="1">
                  <from>
                    <xdr:col>11</xdr:col>
                    <xdr:colOff>60960</xdr:colOff>
                    <xdr:row>34</xdr:row>
                    <xdr:rowOff>45720</xdr:rowOff>
                  </from>
                  <to>
                    <xdr:col>11</xdr:col>
                    <xdr:colOff>281940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7" r:id="rId194" name="Option Button 191">
              <controlPr defaultSize="0" autoFill="0" autoLine="0" autoPict="0">
                <anchor moveWithCells="1">
                  <from>
                    <xdr:col>13</xdr:col>
                    <xdr:colOff>53340</xdr:colOff>
                    <xdr:row>34</xdr:row>
                    <xdr:rowOff>45720</xdr:rowOff>
                  </from>
                  <to>
                    <xdr:col>13</xdr:col>
                    <xdr:colOff>266700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8" r:id="rId195" name="Option Button 192">
              <controlPr defaultSize="0" autoFill="0" autoLine="0" autoPict="0">
                <anchor moveWithCells="1">
                  <from>
                    <xdr:col>15</xdr:col>
                    <xdr:colOff>38100</xdr:colOff>
                    <xdr:row>34</xdr:row>
                    <xdr:rowOff>45720</xdr:rowOff>
                  </from>
                  <to>
                    <xdr:col>15</xdr:col>
                    <xdr:colOff>259080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9" r:id="rId196" name="Group Box 193">
              <controlPr defaultSize="0" print="0" autoFill="0" autoPict="0">
                <anchor moveWithCells="1">
                  <from>
                    <xdr:col>6</xdr:col>
                    <xdr:colOff>68580</xdr:colOff>
                    <xdr:row>35</xdr:row>
                    <xdr:rowOff>0</xdr:rowOff>
                  </from>
                  <to>
                    <xdr:col>16</xdr:col>
                    <xdr:colOff>76200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0" r:id="rId197" name="Option Button 194">
              <controlPr defaultSize="0" autoFill="0" autoLine="0" autoPict="0">
                <anchor moveWithCells="1">
                  <from>
                    <xdr:col>7</xdr:col>
                    <xdr:colOff>76200</xdr:colOff>
                    <xdr:row>35</xdr:row>
                    <xdr:rowOff>30480</xdr:rowOff>
                  </from>
                  <to>
                    <xdr:col>7</xdr:col>
                    <xdr:colOff>297180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1" r:id="rId198" name="Option Button 195">
              <controlPr defaultSize="0" autoFill="0" autoLine="0" autoPict="0">
                <anchor moveWithCells="1">
                  <from>
                    <xdr:col>9</xdr:col>
                    <xdr:colOff>68580</xdr:colOff>
                    <xdr:row>35</xdr:row>
                    <xdr:rowOff>30480</xdr:rowOff>
                  </from>
                  <to>
                    <xdr:col>9</xdr:col>
                    <xdr:colOff>289560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2" r:id="rId199" name="Option Button 196">
              <controlPr defaultSize="0" autoFill="0" autoLine="0" autoPict="0">
                <anchor moveWithCells="1">
                  <from>
                    <xdr:col>11</xdr:col>
                    <xdr:colOff>60960</xdr:colOff>
                    <xdr:row>35</xdr:row>
                    <xdr:rowOff>30480</xdr:rowOff>
                  </from>
                  <to>
                    <xdr:col>11</xdr:col>
                    <xdr:colOff>281940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3" r:id="rId200" name="Option Button 197">
              <controlPr defaultSize="0" autoFill="0" autoLine="0" autoPict="0">
                <anchor moveWithCells="1">
                  <from>
                    <xdr:col>13</xdr:col>
                    <xdr:colOff>53340</xdr:colOff>
                    <xdr:row>35</xdr:row>
                    <xdr:rowOff>30480</xdr:rowOff>
                  </from>
                  <to>
                    <xdr:col>13</xdr:col>
                    <xdr:colOff>266700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4" r:id="rId201" name="Option Button 198">
              <controlPr defaultSize="0" autoFill="0" autoLine="0" autoPict="0">
                <anchor moveWithCells="1">
                  <from>
                    <xdr:col>15</xdr:col>
                    <xdr:colOff>38100</xdr:colOff>
                    <xdr:row>35</xdr:row>
                    <xdr:rowOff>30480</xdr:rowOff>
                  </from>
                  <to>
                    <xdr:col>15</xdr:col>
                    <xdr:colOff>259080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5" r:id="rId202" name="Group Box 199">
              <controlPr defaultSize="0" print="0" autoFill="0" autoPict="0">
                <anchor moveWithCells="1">
                  <from>
                    <xdr:col>6</xdr:col>
                    <xdr:colOff>68580</xdr:colOff>
                    <xdr:row>36</xdr:row>
                    <xdr:rowOff>7620</xdr:rowOff>
                  </from>
                  <to>
                    <xdr:col>16</xdr:col>
                    <xdr:colOff>76200</xdr:colOff>
                    <xdr:row>36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6" r:id="rId203" name="Option Button 200">
              <controlPr defaultSize="0" autoFill="0" autoLine="0" autoPict="0">
                <anchor moveWithCells="1">
                  <from>
                    <xdr:col>7</xdr:col>
                    <xdr:colOff>76200</xdr:colOff>
                    <xdr:row>36</xdr:row>
                    <xdr:rowOff>45720</xdr:rowOff>
                  </from>
                  <to>
                    <xdr:col>7</xdr:col>
                    <xdr:colOff>297180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7" r:id="rId204" name="Option Button 201">
              <controlPr defaultSize="0" autoFill="0" autoLine="0" autoPict="0">
                <anchor moveWithCells="1">
                  <from>
                    <xdr:col>9</xdr:col>
                    <xdr:colOff>68580</xdr:colOff>
                    <xdr:row>36</xdr:row>
                    <xdr:rowOff>45720</xdr:rowOff>
                  </from>
                  <to>
                    <xdr:col>9</xdr:col>
                    <xdr:colOff>289560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8" r:id="rId205" name="Option Button 202">
              <controlPr defaultSize="0" autoFill="0" autoLine="0" autoPict="0">
                <anchor moveWithCells="1">
                  <from>
                    <xdr:col>11</xdr:col>
                    <xdr:colOff>60960</xdr:colOff>
                    <xdr:row>36</xdr:row>
                    <xdr:rowOff>45720</xdr:rowOff>
                  </from>
                  <to>
                    <xdr:col>11</xdr:col>
                    <xdr:colOff>281940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9" r:id="rId206" name="Option Button 203">
              <controlPr defaultSize="0" autoFill="0" autoLine="0" autoPict="0">
                <anchor moveWithCells="1">
                  <from>
                    <xdr:col>13</xdr:col>
                    <xdr:colOff>53340</xdr:colOff>
                    <xdr:row>36</xdr:row>
                    <xdr:rowOff>45720</xdr:rowOff>
                  </from>
                  <to>
                    <xdr:col>13</xdr:col>
                    <xdr:colOff>266700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0" r:id="rId207" name="Option Button 204">
              <controlPr defaultSize="0" autoFill="0" autoLine="0" autoPict="0">
                <anchor moveWithCells="1">
                  <from>
                    <xdr:col>15</xdr:col>
                    <xdr:colOff>38100</xdr:colOff>
                    <xdr:row>36</xdr:row>
                    <xdr:rowOff>45720</xdr:rowOff>
                  </from>
                  <to>
                    <xdr:col>15</xdr:col>
                    <xdr:colOff>259080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1" r:id="rId208" name="Group Box 205">
              <controlPr defaultSize="0" print="0" autoFill="0" autoPict="0">
                <anchor moveWithCells="1">
                  <from>
                    <xdr:col>6</xdr:col>
                    <xdr:colOff>68580</xdr:colOff>
                    <xdr:row>37</xdr:row>
                    <xdr:rowOff>0</xdr:rowOff>
                  </from>
                  <to>
                    <xdr:col>16</xdr:col>
                    <xdr:colOff>76200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2" r:id="rId209" name="Option Button 206">
              <controlPr defaultSize="0" autoFill="0" autoLine="0" autoPict="0">
                <anchor moveWithCells="1">
                  <from>
                    <xdr:col>7</xdr:col>
                    <xdr:colOff>76200</xdr:colOff>
                    <xdr:row>37</xdr:row>
                    <xdr:rowOff>30480</xdr:rowOff>
                  </from>
                  <to>
                    <xdr:col>7</xdr:col>
                    <xdr:colOff>297180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3" r:id="rId210" name="Option Button 207">
              <controlPr defaultSize="0" autoFill="0" autoLine="0" autoPict="0">
                <anchor moveWithCells="1">
                  <from>
                    <xdr:col>9</xdr:col>
                    <xdr:colOff>68580</xdr:colOff>
                    <xdr:row>37</xdr:row>
                    <xdr:rowOff>30480</xdr:rowOff>
                  </from>
                  <to>
                    <xdr:col>9</xdr:col>
                    <xdr:colOff>289560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4" r:id="rId211" name="Option Button 208">
              <controlPr defaultSize="0" autoFill="0" autoLine="0" autoPict="0">
                <anchor moveWithCells="1">
                  <from>
                    <xdr:col>11</xdr:col>
                    <xdr:colOff>60960</xdr:colOff>
                    <xdr:row>37</xdr:row>
                    <xdr:rowOff>30480</xdr:rowOff>
                  </from>
                  <to>
                    <xdr:col>11</xdr:col>
                    <xdr:colOff>281940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5" r:id="rId212" name="Option Button 209">
              <controlPr defaultSize="0" autoFill="0" autoLine="0" autoPict="0">
                <anchor moveWithCells="1">
                  <from>
                    <xdr:col>13</xdr:col>
                    <xdr:colOff>53340</xdr:colOff>
                    <xdr:row>37</xdr:row>
                    <xdr:rowOff>30480</xdr:rowOff>
                  </from>
                  <to>
                    <xdr:col>13</xdr:col>
                    <xdr:colOff>266700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6" r:id="rId213" name="Option Button 210">
              <controlPr defaultSize="0" autoFill="0" autoLine="0" autoPict="0">
                <anchor moveWithCells="1">
                  <from>
                    <xdr:col>15</xdr:col>
                    <xdr:colOff>38100</xdr:colOff>
                    <xdr:row>37</xdr:row>
                    <xdr:rowOff>30480</xdr:rowOff>
                  </from>
                  <to>
                    <xdr:col>15</xdr:col>
                    <xdr:colOff>259080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7" r:id="rId214" name="Group Box 211">
              <controlPr defaultSize="0" print="0" autoFill="0" autoPict="0">
                <anchor moveWithCells="1">
                  <from>
                    <xdr:col>6</xdr:col>
                    <xdr:colOff>68580</xdr:colOff>
                    <xdr:row>40</xdr:row>
                    <xdr:rowOff>30480</xdr:rowOff>
                  </from>
                  <to>
                    <xdr:col>16</xdr:col>
                    <xdr:colOff>76200</xdr:colOff>
                    <xdr:row>40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8" r:id="rId215" name="Option Button 212">
              <controlPr defaultSize="0" autoFill="0" autoLine="0" autoPict="0">
                <anchor moveWithCells="1">
                  <from>
                    <xdr:col>7</xdr:col>
                    <xdr:colOff>76200</xdr:colOff>
                    <xdr:row>40</xdr:row>
                    <xdr:rowOff>60960</xdr:rowOff>
                  </from>
                  <to>
                    <xdr:col>7</xdr:col>
                    <xdr:colOff>297180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9" r:id="rId216" name="Option Button 213">
              <controlPr defaultSize="0" autoFill="0" autoLine="0" autoPict="0">
                <anchor moveWithCells="1">
                  <from>
                    <xdr:col>9</xdr:col>
                    <xdr:colOff>68580</xdr:colOff>
                    <xdr:row>40</xdr:row>
                    <xdr:rowOff>60960</xdr:rowOff>
                  </from>
                  <to>
                    <xdr:col>9</xdr:col>
                    <xdr:colOff>289560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0" r:id="rId217" name="Option Button 214">
              <controlPr defaultSize="0" autoFill="0" autoLine="0" autoPict="0">
                <anchor moveWithCells="1">
                  <from>
                    <xdr:col>11</xdr:col>
                    <xdr:colOff>60960</xdr:colOff>
                    <xdr:row>40</xdr:row>
                    <xdr:rowOff>60960</xdr:rowOff>
                  </from>
                  <to>
                    <xdr:col>11</xdr:col>
                    <xdr:colOff>281940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1" r:id="rId218" name="Option Button 215">
              <controlPr defaultSize="0" autoFill="0" autoLine="0" autoPict="0">
                <anchor moveWithCells="1">
                  <from>
                    <xdr:col>13</xdr:col>
                    <xdr:colOff>45720</xdr:colOff>
                    <xdr:row>40</xdr:row>
                    <xdr:rowOff>60960</xdr:rowOff>
                  </from>
                  <to>
                    <xdr:col>13</xdr:col>
                    <xdr:colOff>266700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2" r:id="rId219" name="Option Button 216">
              <controlPr defaultSize="0" autoFill="0" autoLine="0" autoPict="0">
                <anchor moveWithCells="1">
                  <from>
                    <xdr:col>15</xdr:col>
                    <xdr:colOff>38100</xdr:colOff>
                    <xdr:row>40</xdr:row>
                    <xdr:rowOff>60960</xdr:rowOff>
                  </from>
                  <to>
                    <xdr:col>15</xdr:col>
                    <xdr:colOff>259080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3" r:id="rId220" name="Group Box 217">
              <controlPr defaultSize="0" print="0" autoFill="0" autoPict="0">
                <anchor moveWithCells="1">
                  <from>
                    <xdr:col>6</xdr:col>
                    <xdr:colOff>68580</xdr:colOff>
                    <xdr:row>41</xdr:row>
                    <xdr:rowOff>22860</xdr:rowOff>
                  </from>
                  <to>
                    <xdr:col>16</xdr:col>
                    <xdr:colOff>76200</xdr:colOff>
                    <xdr:row>41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4" r:id="rId221" name="Option Button 218">
              <controlPr defaultSize="0" autoFill="0" autoLine="0" autoPict="0">
                <anchor moveWithCells="1">
                  <from>
                    <xdr:col>7</xdr:col>
                    <xdr:colOff>76200</xdr:colOff>
                    <xdr:row>41</xdr:row>
                    <xdr:rowOff>45720</xdr:rowOff>
                  </from>
                  <to>
                    <xdr:col>7</xdr:col>
                    <xdr:colOff>297180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5" r:id="rId222" name="Option Button 219">
              <controlPr defaultSize="0" autoFill="0" autoLine="0" autoPict="0">
                <anchor moveWithCells="1">
                  <from>
                    <xdr:col>9</xdr:col>
                    <xdr:colOff>68580</xdr:colOff>
                    <xdr:row>41</xdr:row>
                    <xdr:rowOff>45720</xdr:rowOff>
                  </from>
                  <to>
                    <xdr:col>9</xdr:col>
                    <xdr:colOff>289560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6" r:id="rId223" name="Option Button 220">
              <controlPr defaultSize="0" autoFill="0" autoLine="0" autoPict="0">
                <anchor moveWithCells="1">
                  <from>
                    <xdr:col>11</xdr:col>
                    <xdr:colOff>60960</xdr:colOff>
                    <xdr:row>41</xdr:row>
                    <xdr:rowOff>45720</xdr:rowOff>
                  </from>
                  <to>
                    <xdr:col>11</xdr:col>
                    <xdr:colOff>281940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7" r:id="rId224" name="Option Button 221">
              <controlPr defaultSize="0" autoFill="0" autoLine="0" autoPict="0">
                <anchor moveWithCells="1">
                  <from>
                    <xdr:col>13</xdr:col>
                    <xdr:colOff>45720</xdr:colOff>
                    <xdr:row>41</xdr:row>
                    <xdr:rowOff>45720</xdr:rowOff>
                  </from>
                  <to>
                    <xdr:col>13</xdr:col>
                    <xdr:colOff>266700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8" r:id="rId225" name="Option Button 222">
              <controlPr defaultSize="0" autoFill="0" autoLine="0" autoPict="0">
                <anchor moveWithCells="1">
                  <from>
                    <xdr:col>15</xdr:col>
                    <xdr:colOff>38100</xdr:colOff>
                    <xdr:row>41</xdr:row>
                    <xdr:rowOff>45720</xdr:rowOff>
                  </from>
                  <to>
                    <xdr:col>15</xdr:col>
                    <xdr:colOff>259080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9" r:id="rId226" name="Group Box 223">
              <controlPr defaultSize="0" print="0" autoFill="0" autoPict="0">
                <anchor moveWithCells="1">
                  <from>
                    <xdr:col>6</xdr:col>
                    <xdr:colOff>68580</xdr:colOff>
                    <xdr:row>42</xdr:row>
                    <xdr:rowOff>30480</xdr:rowOff>
                  </from>
                  <to>
                    <xdr:col>16</xdr:col>
                    <xdr:colOff>76200</xdr:colOff>
                    <xdr:row>42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0" r:id="rId227" name="Option Button 224">
              <controlPr defaultSize="0" autoFill="0" autoLine="0" autoPict="0">
                <anchor moveWithCells="1">
                  <from>
                    <xdr:col>7</xdr:col>
                    <xdr:colOff>76200</xdr:colOff>
                    <xdr:row>42</xdr:row>
                    <xdr:rowOff>60960</xdr:rowOff>
                  </from>
                  <to>
                    <xdr:col>7</xdr:col>
                    <xdr:colOff>297180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1" r:id="rId228" name="Option Button 225">
              <controlPr defaultSize="0" autoFill="0" autoLine="0" autoPict="0">
                <anchor moveWithCells="1">
                  <from>
                    <xdr:col>9</xdr:col>
                    <xdr:colOff>68580</xdr:colOff>
                    <xdr:row>42</xdr:row>
                    <xdr:rowOff>60960</xdr:rowOff>
                  </from>
                  <to>
                    <xdr:col>9</xdr:col>
                    <xdr:colOff>289560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2" r:id="rId229" name="Option Button 226">
              <controlPr defaultSize="0" autoFill="0" autoLine="0" autoPict="0">
                <anchor moveWithCells="1">
                  <from>
                    <xdr:col>11</xdr:col>
                    <xdr:colOff>60960</xdr:colOff>
                    <xdr:row>42</xdr:row>
                    <xdr:rowOff>60960</xdr:rowOff>
                  </from>
                  <to>
                    <xdr:col>11</xdr:col>
                    <xdr:colOff>281940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3" r:id="rId230" name="Option Button 227">
              <controlPr defaultSize="0" autoFill="0" autoLine="0" autoPict="0">
                <anchor moveWithCells="1">
                  <from>
                    <xdr:col>13</xdr:col>
                    <xdr:colOff>45720</xdr:colOff>
                    <xdr:row>42</xdr:row>
                    <xdr:rowOff>60960</xdr:rowOff>
                  </from>
                  <to>
                    <xdr:col>13</xdr:col>
                    <xdr:colOff>266700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4" r:id="rId231" name="Option Button 228">
              <controlPr defaultSize="0" autoFill="0" autoLine="0" autoPict="0">
                <anchor moveWithCells="1">
                  <from>
                    <xdr:col>15</xdr:col>
                    <xdr:colOff>38100</xdr:colOff>
                    <xdr:row>42</xdr:row>
                    <xdr:rowOff>60960</xdr:rowOff>
                  </from>
                  <to>
                    <xdr:col>15</xdr:col>
                    <xdr:colOff>259080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5" r:id="rId232" name="Group Box 229">
              <controlPr defaultSize="0" print="0" autoFill="0" autoPict="0">
                <anchor moveWithCells="1">
                  <from>
                    <xdr:col>6</xdr:col>
                    <xdr:colOff>68580</xdr:colOff>
                    <xdr:row>44</xdr:row>
                    <xdr:rowOff>30480</xdr:rowOff>
                  </from>
                  <to>
                    <xdr:col>16</xdr:col>
                    <xdr:colOff>76200</xdr:colOff>
                    <xdr:row>44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6" r:id="rId233" name="Option Button 230">
              <controlPr defaultSize="0" autoFill="0" autoLine="0" autoPict="0">
                <anchor moveWithCells="1">
                  <from>
                    <xdr:col>7</xdr:col>
                    <xdr:colOff>76200</xdr:colOff>
                    <xdr:row>44</xdr:row>
                    <xdr:rowOff>60960</xdr:rowOff>
                  </from>
                  <to>
                    <xdr:col>7</xdr:col>
                    <xdr:colOff>297180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7" r:id="rId234" name="Option Button 231">
              <controlPr defaultSize="0" autoFill="0" autoLine="0" autoPict="0">
                <anchor moveWithCells="1">
                  <from>
                    <xdr:col>9</xdr:col>
                    <xdr:colOff>68580</xdr:colOff>
                    <xdr:row>44</xdr:row>
                    <xdr:rowOff>60960</xdr:rowOff>
                  </from>
                  <to>
                    <xdr:col>9</xdr:col>
                    <xdr:colOff>289560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8" r:id="rId235" name="Option Button 232">
              <controlPr defaultSize="0" autoFill="0" autoLine="0" autoPict="0">
                <anchor moveWithCells="1">
                  <from>
                    <xdr:col>11</xdr:col>
                    <xdr:colOff>60960</xdr:colOff>
                    <xdr:row>44</xdr:row>
                    <xdr:rowOff>60960</xdr:rowOff>
                  </from>
                  <to>
                    <xdr:col>11</xdr:col>
                    <xdr:colOff>281940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9" r:id="rId236" name="Option Button 233">
              <controlPr defaultSize="0" autoFill="0" autoLine="0" autoPict="0">
                <anchor moveWithCells="1">
                  <from>
                    <xdr:col>13</xdr:col>
                    <xdr:colOff>45720</xdr:colOff>
                    <xdr:row>44</xdr:row>
                    <xdr:rowOff>60960</xdr:rowOff>
                  </from>
                  <to>
                    <xdr:col>13</xdr:col>
                    <xdr:colOff>266700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0" r:id="rId237" name="Option Button 234">
              <controlPr defaultSize="0" autoFill="0" autoLine="0" autoPict="0">
                <anchor moveWithCells="1">
                  <from>
                    <xdr:col>15</xdr:col>
                    <xdr:colOff>38100</xdr:colOff>
                    <xdr:row>44</xdr:row>
                    <xdr:rowOff>60960</xdr:rowOff>
                  </from>
                  <to>
                    <xdr:col>15</xdr:col>
                    <xdr:colOff>259080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1" r:id="rId238" name="Group Box 235">
              <controlPr defaultSize="0" print="0" autoFill="0" autoPict="0">
                <anchor moveWithCells="1">
                  <from>
                    <xdr:col>6</xdr:col>
                    <xdr:colOff>68580</xdr:colOff>
                    <xdr:row>45</xdr:row>
                    <xdr:rowOff>38100</xdr:rowOff>
                  </from>
                  <to>
                    <xdr:col>16</xdr:col>
                    <xdr:colOff>76200</xdr:colOff>
                    <xdr:row>45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2" r:id="rId239" name="Option Button 236">
              <controlPr defaultSize="0" autoFill="0" autoLine="0" autoPict="0">
                <anchor moveWithCells="1">
                  <from>
                    <xdr:col>7</xdr:col>
                    <xdr:colOff>76200</xdr:colOff>
                    <xdr:row>45</xdr:row>
                    <xdr:rowOff>68580</xdr:rowOff>
                  </from>
                  <to>
                    <xdr:col>7</xdr:col>
                    <xdr:colOff>297180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3" r:id="rId240" name="Option Button 237">
              <controlPr defaultSize="0" autoFill="0" autoLine="0" autoPict="0">
                <anchor moveWithCells="1">
                  <from>
                    <xdr:col>9</xdr:col>
                    <xdr:colOff>68580</xdr:colOff>
                    <xdr:row>45</xdr:row>
                    <xdr:rowOff>68580</xdr:rowOff>
                  </from>
                  <to>
                    <xdr:col>9</xdr:col>
                    <xdr:colOff>289560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4" r:id="rId241" name="Option Button 238">
              <controlPr defaultSize="0" autoFill="0" autoLine="0" autoPict="0">
                <anchor moveWithCells="1">
                  <from>
                    <xdr:col>11</xdr:col>
                    <xdr:colOff>60960</xdr:colOff>
                    <xdr:row>45</xdr:row>
                    <xdr:rowOff>68580</xdr:rowOff>
                  </from>
                  <to>
                    <xdr:col>11</xdr:col>
                    <xdr:colOff>281940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5" r:id="rId242" name="Option Button 239">
              <controlPr defaultSize="0" autoFill="0" autoLine="0" autoPict="0">
                <anchor moveWithCells="1">
                  <from>
                    <xdr:col>13</xdr:col>
                    <xdr:colOff>45720</xdr:colOff>
                    <xdr:row>45</xdr:row>
                    <xdr:rowOff>68580</xdr:rowOff>
                  </from>
                  <to>
                    <xdr:col>13</xdr:col>
                    <xdr:colOff>266700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6" r:id="rId243" name="Option Button 240">
              <controlPr defaultSize="0" autoFill="0" autoLine="0" autoPict="0">
                <anchor moveWithCells="1">
                  <from>
                    <xdr:col>15</xdr:col>
                    <xdr:colOff>38100</xdr:colOff>
                    <xdr:row>45</xdr:row>
                    <xdr:rowOff>68580</xdr:rowOff>
                  </from>
                  <to>
                    <xdr:col>15</xdr:col>
                    <xdr:colOff>259080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7" r:id="rId244" name="Group Box 241">
              <controlPr defaultSize="0" print="0" autoFill="0" autoPict="0">
                <anchor moveWithCells="1">
                  <from>
                    <xdr:col>6</xdr:col>
                    <xdr:colOff>68580</xdr:colOff>
                    <xdr:row>48</xdr:row>
                    <xdr:rowOff>7620</xdr:rowOff>
                  </from>
                  <to>
                    <xdr:col>16</xdr:col>
                    <xdr:colOff>76200</xdr:colOff>
                    <xdr:row>48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8" r:id="rId245" name="Option Button 242">
              <controlPr defaultSize="0" autoFill="0" autoLine="0" autoPict="0">
                <anchor moveWithCells="1">
                  <from>
                    <xdr:col>7</xdr:col>
                    <xdr:colOff>76200</xdr:colOff>
                    <xdr:row>48</xdr:row>
                    <xdr:rowOff>45720</xdr:rowOff>
                  </from>
                  <to>
                    <xdr:col>7</xdr:col>
                    <xdr:colOff>297180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9" r:id="rId246" name="Option Button 243">
              <controlPr defaultSize="0" autoFill="0" autoLine="0" autoPict="0">
                <anchor moveWithCells="1">
                  <from>
                    <xdr:col>9</xdr:col>
                    <xdr:colOff>68580</xdr:colOff>
                    <xdr:row>48</xdr:row>
                    <xdr:rowOff>45720</xdr:rowOff>
                  </from>
                  <to>
                    <xdr:col>9</xdr:col>
                    <xdr:colOff>289560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0" r:id="rId247" name="Option Button 244">
              <controlPr defaultSize="0" autoFill="0" autoLine="0" autoPict="0">
                <anchor moveWithCells="1">
                  <from>
                    <xdr:col>11</xdr:col>
                    <xdr:colOff>60960</xdr:colOff>
                    <xdr:row>48</xdr:row>
                    <xdr:rowOff>45720</xdr:rowOff>
                  </from>
                  <to>
                    <xdr:col>11</xdr:col>
                    <xdr:colOff>281940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1" r:id="rId248" name="Option Button 245">
              <controlPr defaultSize="0" autoFill="0" autoLine="0" autoPict="0">
                <anchor moveWithCells="1">
                  <from>
                    <xdr:col>13</xdr:col>
                    <xdr:colOff>53340</xdr:colOff>
                    <xdr:row>48</xdr:row>
                    <xdr:rowOff>45720</xdr:rowOff>
                  </from>
                  <to>
                    <xdr:col>13</xdr:col>
                    <xdr:colOff>266700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2" r:id="rId249" name="Option Button 246">
              <controlPr defaultSize="0" autoFill="0" autoLine="0" autoPict="0">
                <anchor moveWithCells="1">
                  <from>
                    <xdr:col>15</xdr:col>
                    <xdr:colOff>38100</xdr:colOff>
                    <xdr:row>48</xdr:row>
                    <xdr:rowOff>45720</xdr:rowOff>
                  </from>
                  <to>
                    <xdr:col>15</xdr:col>
                    <xdr:colOff>259080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3" r:id="rId250" name="Group Box 247">
              <controlPr defaultSize="0" print="0" autoFill="0" autoPict="0">
                <anchor moveWithCells="1">
                  <from>
                    <xdr:col>6</xdr:col>
                    <xdr:colOff>68580</xdr:colOff>
                    <xdr:row>51</xdr:row>
                    <xdr:rowOff>0</xdr:rowOff>
                  </from>
                  <to>
                    <xdr:col>16</xdr:col>
                    <xdr:colOff>76200</xdr:colOff>
                    <xdr:row>51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4" r:id="rId251" name="Option Button 248">
              <controlPr defaultSize="0" autoFill="0" autoLine="0" autoPict="0">
                <anchor moveWithCells="1">
                  <from>
                    <xdr:col>7</xdr:col>
                    <xdr:colOff>76200</xdr:colOff>
                    <xdr:row>51</xdr:row>
                    <xdr:rowOff>30480</xdr:rowOff>
                  </from>
                  <to>
                    <xdr:col>7</xdr:col>
                    <xdr:colOff>297180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5" r:id="rId252" name="Option Button 249">
              <controlPr defaultSize="0" autoFill="0" autoLine="0" autoPict="0">
                <anchor moveWithCells="1">
                  <from>
                    <xdr:col>9</xdr:col>
                    <xdr:colOff>68580</xdr:colOff>
                    <xdr:row>51</xdr:row>
                    <xdr:rowOff>30480</xdr:rowOff>
                  </from>
                  <to>
                    <xdr:col>9</xdr:col>
                    <xdr:colOff>289560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6" r:id="rId253" name="Option Button 250">
              <controlPr defaultSize="0" autoFill="0" autoLine="0" autoPict="0">
                <anchor moveWithCells="1">
                  <from>
                    <xdr:col>11</xdr:col>
                    <xdr:colOff>60960</xdr:colOff>
                    <xdr:row>51</xdr:row>
                    <xdr:rowOff>30480</xdr:rowOff>
                  </from>
                  <to>
                    <xdr:col>11</xdr:col>
                    <xdr:colOff>281940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7" r:id="rId254" name="Option Button 251">
              <controlPr defaultSize="0" autoFill="0" autoLine="0" autoPict="0">
                <anchor moveWithCells="1">
                  <from>
                    <xdr:col>13</xdr:col>
                    <xdr:colOff>53340</xdr:colOff>
                    <xdr:row>51</xdr:row>
                    <xdr:rowOff>30480</xdr:rowOff>
                  </from>
                  <to>
                    <xdr:col>13</xdr:col>
                    <xdr:colOff>266700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8" r:id="rId255" name="Option Button 252">
              <controlPr defaultSize="0" autoFill="0" autoLine="0" autoPict="0">
                <anchor moveWithCells="1">
                  <from>
                    <xdr:col>15</xdr:col>
                    <xdr:colOff>38100</xdr:colOff>
                    <xdr:row>51</xdr:row>
                    <xdr:rowOff>30480</xdr:rowOff>
                  </from>
                  <to>
                    <xdr:col>15</xdr:col>
                    <xdr:colOff>259080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9" r:id="rId256" name="Group Box 253">
              <controlPr defaultSize="0" print="0" autoFill="0" autoPict="0">
                <anchor moveWithCells="1">
                  <from>
                    <xdr:col>6</xdr:col>
                    <xdr:colOff>68580</xdr:colOff>
                    <xdr:row>52</xdr:row>
                    <xdr:rowOff>7620</xdr:rowOff>
                  </from>
                  <to>
                    <xdr:col>16</xdr:col>
                    <xdr:colOff>76200</xdr:colOff>
                    <xdr:row>52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0" r:id="rId257" name="Option Button 254">
              <controlPr defaultSize="0" autoFill="0" autoLine="0" autoPict="0">
                <anchor moveWithCells="1">
                  <from>
                    <xdr:col>7</xdr:col>
                    <xdr:colOff>76200</xdr:colOff>
                    <xdr:row>52</xdr:row>
                    <xdr:rowOff>45720</xdr:rowOff>
                  </from>
                  <to>
                    <xdr:col>7</xdr:col>
                    <xdr:colOff>297180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1" r:id="rId258" name="Option Button 255">
              <controlPr defaultSize="0" autoFill="0" autoLine="0" autoPict="0">
                <anchor moveWithCells="1">
                  <from>
                    <xdr:col>9</xdr:col>
                    <xdr:colOff>68580</xdr:colOff>
                    <xdr:row>52</xdr:row>
                    <xdr:rowOff>45720</xdr:rowOff>
                  </from>
                  <to>
                    <xdr:col>9</xdr:col>
                    <xdr:colOff>289560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2" r:id="rId259" name="Option Button 256">
              <controlPr defaultSize="0" autoFill="0" autoLine="0" autoPict="0">
                <anchor moveWithCells="1">
                  <from>
                    <xdr:col>11</xdr:col>
                    <xdr:colOff>60960</xdr:colOff>
                    <xdr:row>52</xdr:row>
                    <xdr:rowOff>45720</xdr:rowOff>
                  </from>
                  <to>
                    <xdr:col>11</xdr:col>
                    <xdr:colOff>281940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3" r:id="rId260" name="Option Button 257">
              <controlPr defaultSize="0" autoFill="0" autoLine="0" autoPict="0">
                <anchor moveWithCells="1">
                  <from>
                    <xdr:col>13</xdr:col>
                    <xdr:colOff>53340</xdr:colOff>
                    <xdr:row>52</xdr:row>
                    <xdr:rowOff>45720</xdr:rowOff>
                  </from>
                  <to>
                    <xdr:col>13</xdr:col>
                    <xdr:colOff>266700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4" r:id="rId261" name="Option Button 258">
              <controlPr defaultSize="0" autoFill="0" autoLine="0" autoPict="0">
                <anchor moveWithCells="1">
                  <from>
                    <xdr:col>15</xdr:col>
                    <xdr:colOff>38100</xdr:colOff>
                    <xdr:row>52</xdr:row>
                    <xdr:rowOff>45720</xdr:rowOff>
                  </from>
                  <to>
                    <xdr:col>15</xdr:col>
                    <xdr:colOff>259080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5" r:id="rId262" name="Group Box 259">
              <controlPr defaultSize="0" print="0" autoFill="0" autoPict="0">
                <anchor moveWithCells="1">
                  <from>
                    <xdr:col>6</xdr:col>
                    <xdr:colOff>68580</xdr:colOff>
                    <xdr:row>53</xdr:row>
                    <xdr:rowOff>0</xdr:rowOff>
                  </from>
                  <to>
                    <xdr:col>16</xdr:col>
                    <xdr:colOff>76200</xdr:colOff>
                    <xdr:row>53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6" r:id="rId263" name="Option Button 260">
              <controlPr defaultSize="0" autoFill="0" autoLine="0" autoPict="0">
                <anchor moveWithCells="1">
                  <from>
                    <xdr:col>7</xdr:col>
                    <xdr:colOff>76200</xdr:colOff>
                    <xdr:row>53</xdr:row>
                    <xdr:rowOff>30480</xdr:rowOff>
                  </from>
                  <to>
                    <xdr:col>7</xdr:col>
                    <xdr:colOff>297180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7" r:id="rId264" name="Option Button 261">
              <controlPr defaultSize="0" autoFill="0" autoLine="0" autoPict="0">
                <anchor moveWithCells="1">
                  <from>
                    <xdr:col>9</xdr:col>
                    <xdr:colOff>68580</xdr:colOff>
                    <xdr:row>53</xdr:row>
                    <xdr:rowOff>30480</xdr:rowOff>
                  </from>
                  <to>
                    <xdr:col>9</xdr:col>
                    <xdr:colOff>289560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8" r:id="rId265" name="Option Button 262">
              <controlPr defaultSize="0" autoFill="0" autoLine="0" autoPict="0">
                <anchor moveWithCells="1">
                  <from>
                    <xdr:col>11</xdr:col>
                    <xdr:colOff>60960</xdr:colOff>
                    <xdr:row>53</xdr:row>
                    <xdr:rowOff>30480</xdr:rowOff>
                  </from>
                  <to>
                    <xdr:col>11</xdr:col>
                    <xdr:colOff>281940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9" r:id="rId266" name="Option Button 263">
              <controlPr defaultSize="0" autoFill="0" autoLine="0" autoPict="0">
                <anchor moveWithCells="1">
                  <from>
                    <xdr:col>13</xdr:col>
                    <xdr:colOff>53340</xdr:colOff>
                    <xdr:row>53</xdr:row>
                    <xdr:rowOff>30480</xdr:rowOff>
                  </from>
                  <to>
                    <xdr:col>13</xdr:col>
                    <xdr:colOff>266700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0" r:id="rId267" name="Option Button 264">
              <controlPr defaultSize="0" autoFill="0" autoLine="0" autoPict="0">
                <anchor moveWithCells="1">
                  <from>
                    <xdr:col>15</xdr:col>
                    <xdr:colOff>38100</xdr:colOff>
                    <xdr:row>53</xdr:row>
                    <xdr:rowOff>30480</xdr:rowOff>
                  </from>
                  <to>
                    <xdr:col>15</xdr:col>
                    <xdr:colOff>259080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1" r:id="rId268" name="Group Box 265">
              <controlPr defaultSize="0" print="0" autoFill="0" autoPict="0">
                <anchor moveWithCells="1">
                  <from>
                    <xdr:col>6</xdr:col>
                    <xdr:colOff>68580</xdr:colOff>
                    <xdr:row>57</xdr:row>
                    <xdr:rowOff>30480</xdr:rowOff>
                  </from>
                  <to>
                    <xdr:col>16</xdr:col>
                    <xdr:colOff>76200</xdr:colOff>
                    <xdr:row>57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2" r:id="rId269" name="Option Button 266">
              <controlPr defaultSize="0" autoFill="0" autoLine="0" autoPict="0">
                <anchor moveWithCells="1">
                  <from>
                    <xdr:col>7</xdr:col>
                    <xdr:colOff>76200</xdr:colOff>
                    <xdr:row>57</xdr:row>
                    <xdr:rowOff>60960</xdr:rowOff>
                  </from>
                  <to>
                    <xdr:col>7</xdr:col>
                    <xdr:colOff>297180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3" r:id="rId270" name="Option Button 267">
              <controlPr defaultSize="0" autoFill="0" autoLine="0" autoPict="0">
                <anchor moveWithCells="1">
                  <from>
                    <xdr:col>9</xdr:col>
                    <xdr:colOff>68580</xdr:colOff>
                    <xdr:row>57</xdr:row>
                    <xdr:rowOff>60960</xdr:rowOff>
                  </from>
                  <to>
                    <xdr:col>9</xdr:col>
                    <xdr:colOff>289560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4" r:id="rId271" name="Option Button 268">
              <controlPr defaultSize="0" autoFill="0" autoLine="0" autoPict="0">
                <anchor moveWithCells="1">
                  <from>
                    <xdr:col>11</xdr:col>
                    <xdr:colOff>60960</xdr:colOff>
                    <xdr:row>57</xdr:row>
                    <xdr:rowOff>60960</xdr:rowOff>
                  </from>
                  <to>
                    <xdr:col>11</xdr:col>
                    <xdr:colOff>281940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5" r:id="rId272" name="Option Button 269">
              <controlPr defaultSize="0" autoFill="0" autoLine="0" autoPict="0">
                <anchor moveWithCells="1">
                  <from>
                    <xdr:col>13</xdr:col>
                    <xdr:colOff>45720</xdr:colOff>
                    <xdr:row>57</xdr:row>
                    <xdr:rowOff>60960</xdr:rowOff>
                  </from>
                  <to>
                    <xdr:col>13</xdr:col>
                    <xdr:colOff>266700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6" r:id="rId273" name="Option Button 270">
              <controlPr defaultSize="0" autoFill="0" autoLine="0" autoPict="0">
                <anchor moveWithCells="1">
                  <from>
                    <xdr:col>15</xdr:col>
                    <xdr:colOff>38100</xdr:colOff>
                    <xdr:row>57</xdr:row>
                    <xdr:rowOff>60960</xdr:rowOff>
                  </from>
                  <to>
                    <xdr:col>15</xdr:col>
                    <xdr:colOff>259080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7" r:id="rId274" name="Group Box 271">
              <controlPr defaultSize="0" print="0" autoFill="0" autoPict="0">
                <anchor moveWithCells="1">
                  <from>
                    <xdr:col>6</xdr:col>
                    <xdr:colOff>68580</xdr:colOff>
                    <xdr:row>58</xdr:row>
                    <xdr:rowOff>7620</xdr:rowOff>
                  </from>
                  <to>
                    <xdr:col>16</xdr:col>
                    <xdr:colOff>76200</xdr:colOff>
                    <xdr:row>58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8" r:id="rId275" name="Option Button 272">
              <controlPr defaultSize="0" autoFill="0" autoLine="0" autoPict="0">
                <anchor moveWithCells="1">
                  <from>
                    <xdr:col>7</xdr:col>
                    <xdr:colOff>76200</xdr:colOff>
                    <xdr:row>58</xdr:row>
                    <xdr:rowOff>38100</xdr:rowOff>
                  </from>
                  <to>
                    <xdr:col>7</xdr:col>
                    <xdr:colOff>297180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9" r:id="rId276" name="Option Button 273">
              <controlPr defaultSize="0" autoFill="0" autoLine="0" autoPict="0">
                <anchor moveWithCells="1">
                  <from>
                    <xdr:col>9</xdr:col>
                    <xdr:colOff>68580</xdr:colOff>
                    <xdr:row>58</xdr:row>
                    <xdr:rowOff>38100</xdr:rowOff>
                  </from>
                  <to>
                    <xdr:col>9</xdr:col>
                    <xdr:colOff>289560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0" r:id="rId277" name="Option Button 274">
              <controlPr defaultSize="0" autoFill="0" autoLine="0" autoPict="0">
                <anchor moveWithCells="1">
                  <from>
                    <xdr:col>11</xdr:col>
                    <xdr:colOff>60960</xdr:colOff>
                    <xdr:row>58</xdr:row>
                    <xdr:rowOff>38100</xdr:rowOff>
                  </from>
                  <to>
                    <xdr:col>11</xdr:col>
                    <xdr:colOff>281940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1" r:id="rId278" name="Option Button 275">
              <controlPr defaultSize="0" autoFill="0" autoLine="0" autoPict="0">
                <anchor moveWithCells="1">
                  <from>
                    <xdr:col>13</xdr:col>
                    <xdr:colOff>45720</xdr:colOff>
                    <xdr:row>58</xdr:row>
                    <xdr:rowOff>38100</xdr:rowOff>
                  </from>
                  <to>
                    <xdr:col>13</xdr:col>
                    <xdr:colOff>266700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2" r:id="rId279" name="Option Button 276">
              <controlPr defaultSize="0" autoFill="0" autoLine="0" autoPict="0">
                <anchor moveWithCells="1">
                  <from>
                    <xdr:col>15</xdr:col>
                    <xdr:colOff>38100</xdr:colOff>
                    <xdr:row>58</xdr:row>
                    <xdr:rowOff>38100</xdr:rowOff>
                  </from>
                  <to>
                    <xdr:col>15</xdr:col>
                    <xdr:colOff>259080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3" r:id="rId280" name="Group Box 277">
              <controlPr defaultSize="0" print="0" autoFill="0" autoPict="0">
                <anchor moveWithCells="1">
                  <from>
                    <xdr:col>6</xdr:col>
                    <xdr:colOff>68580</xdr:colOff>
                    <xdr:row>59</xdr:row>
                    <xdr:rowOff>30480</xdr:rowOff>
                  </from>
                  <to>
                    <xdr:col>16</xdr:col>
                    <xdr:colOff>76200</xdr:colOff>
                    <xdr:row>59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4" r:id="rId281" name="Option Button 278">
              <controlPr defaultSize="0" autoFill="0" autoLine="0" autoPict="0">
                <anchor moveWithCells="1">
                  <from>
                    <xdr:col>7</xdr:col>
                    <xdr:colOff>76200</xdr:colOff>
                    <xdr:row>59</xdr:row>
                    <xdr:rowOff>60960</xdr:rowOff>
                  </from>
                  <to>
                    <xdr:col>7</xdr:col>
                    <xdr:colOff>297180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5" r:id="rId282" name="Option Button 279">
              <controlPr defaultSize="0" autoFill="0" autoLine="0" autoPict="0">
                <anchor moveWithCells="1">
                  <from>
                    <xdr:col>9</xdr:col>
                    <xdr:colOff>68580</xdr:colOff>
                    <xdr:row>59</xdr:row>
                    <xdr:rowOff>60960</xdr:rowOff>
                  </from>
                  <to>
                    <xdr:col>9</xdr:col>
                    <xdr:colOff>289560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6" r:id="rId283" name="Option Button 280">
              <controlPr defaultSize="0" autoFill="0" autoLine="0" autoPict="0">
                <anchor moveWithCells="1">
                  <from>
                    <xdr:col>11</xdr:col>
                    <xdr:colOff>60960</xdr:colOff>
                    <xdr:row>59</xdr:row>
                    <xdr:rowOff>60960</xdr:rowOff>
                  </from>
                  <to>
                    <xdr:col>11</xdr:col>
                    <xdr:colOff>281940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7" r:id="rId284" name="Option Button 281">
              <controlPr defaultSize="0" autoFill="0" autoLine="0" autoPict="0">
                <anchor moveWithCells="1">
                  <from>
                    <xdr:col>13</xdr:col>
                    <xdr:colOff>45720</xdr:colOff>
                    <xdr:row>59</xdr:row>
                    <xdr:rowOff>60960</xdr:rowOff>
                  </from>
                  <to>
                    <xdr:col>13</xdr:col>
                    <xdr:colOff>266700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8" r:id="rId285" name="Option Button 282">
              <controlPr defaultSize="0" autoFill="0" autoLine="0" autoPict="0">
                <anchor moveWithCells="1">
                  <from>
                    <xdr:col>15</xdr:col>
                    <xdr:colOff>38100</xdr:colOff>
                    <xdr:row>59</xdr:row>
                    <xdr:rowOff>60960</xdr:rowOff>
                  </from>
                  <to>
                    <xdr:col>15</xdr:col>
                    <xdr:colOff>259080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9" r:id="rId286" name="Group Box 283">
              <controlPr defaultSize="0" print="0" autoFill="0" autoPict="0">
                <anchor moveWithCells="1">
                  <from>
                    <xdr:col>6</xdr:col>
                    <xdr:colOff>68580</xdr:colOff>
                    <xdr:row>60</xdr:row>
                    <xdr:rowOff>30480</xdr:rowOff>
                  </from>
                  <to>
                    <xdr:col>16</xdr:col>
                    <xdr:colOff>76200</xdr:colOff>
                    <xdr:row>60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0" r:id="rId287" name="Option Button 284">
              <controlPr defaultSize="0" autoFill="0" autoLine="0" autoPict="0">
                <anchor moveWithCells="1">
                  <from>
                    <xdr:col>7</xdr:col>
                    <xdr:colOff>76200</xdr:colOff>
                    <xdr:row>60</xdr:row>
                    <xdr:rowOff>60960</xdr:rowOff>
                  </from>
                  <to>
                    <xdr:col>7</xdr:col>
                    <xdr:colOff>297180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1" r:id="rId288" name="Option Button 285">
              <controlPr defaultSize="0" autoFill="0" autoLine="0" autoPict="0">
                <anchor moveWithCells="1">
                  <from>
                    <xdr:col>9</xdr:col>
                    <xdr:colOff>68580</xdr:colOff>
                    <xdr:row>60</xdr:row>
                    <xdr:rowOff>60960</xdr:rowOff>
                  </from>
                  <to>
                    <xdr:col>9</xdr:col>
                    <xdr:colOff>289560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2" r:id="rId289" name="Option Button 286">
              <controlPr defaultSize="0" autoFill="0" autoLine="0" autoPict="0">
                <anchor moveWithCells="1">
                  <from>
                    <xdr:col>11</xdr:col>
                    <xdr:colOff>60960</xdr:colOff>
                    <xdr:row>60</xdr:row>
                    <xdr:rowOff>60960</xdr:rowOff>
                  </from>
                  <to>
                    <xdr:col>11</xdr:col>
                    <xdr:colOff>281940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3" r:id="rId290" name="Option Button 287">
              <controlPr defaultSize="0" autoFill="0" autoLine="0" autoPict="0">
                <anchor moveWithCells="1">
                  <from>
                    <xdr:col>13</xdr:col>
                    <xdr:colOff>45720</xdr:colOff>
                    <xdr:row>60</xdr:row>
                    <xdr:rowOff>60960</xdr:rowOff>
                  </from>
                  <to>
                    <xdr:col>13</xdr:col>
                    <xdr:colOff>266700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4" r:id="rId291" name="Option Button 288">
              <controlPr defaultSize="0" autoFill="0" autoLine="0" autoPict="0">
                <anchor moveWithCells="1">
                  <from>
                    <xdr:col>15</xdr:col>
                    <xdr:colOff>38100</xdr:colOff>
                    <xdr:row>60</xdr:row>
                    <xdr:rowOff>60960</xdr:rowOff>
                  </from>
                  <to>
                    <xdr:col>15</xdr:col>
                    <xdr:colOff>259080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5" r:id="rId292" name="Group Box 289">
              <controlPr defaultSize="0" print="0" autoFill="0" autoPict="0">
                <anchor moveWithCells="1">
                  <from>
                    <xdr:col>6</xdr:col>
                    <xdr:colOff>68580</xdr:colOff>
                    <xdr:row>63</xdr:row>
                    <xdr:rowOff>7620</xdr:rowOff>
                  </from>
                  <to>
                    <xdr:col>16</xdr:col>
                    <xdr:colOff>76200</xdr:colOff>
                    <xdr:row>63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6" r:id="rId293" name="Option Button 290">
              <controlPr defaultSize="0" autoFill="0" autoLine="0" autoPict="0">
                <anchor moveWithCells="1">
                  <from>
                    <xdr:col>7</xdr:col>
                    <xdr:colOff>76200</xdr:colOff>
                    <xdr:row>63</xdr:row>
                    <xdr:rowOff>45720</xdr:rowOff>
                  </from>
                  <to>
                    <xdr:col>7</xdr:col>
                    <xdr:colOff>297180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7" r:id="rId294" name="Option Button 291">
              <controlPr defaultSize="0" autoFill="0" autoLine="0" autoPict="0">
                <anchor moveWithCells="1">
                  <from>
                    <xdr:col>9</xdr:col>
                    <xdr:colOff>68580</xdr:colOff>
                    <xdr:row>63</xdr:row>
                    <xdr:rowOff>45720</xdr:rowOff>
                  </from>
                  <to>
                    <xdr:col>9</xdr:col>
                    <xdr:colOff>289560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8" r:id="rId295" name="Option Button 292">
              <controlPr defaultSize="0" autoFill="0" autoLine="0" autoPict="0">
                <anchor moveWithCells="1">
                  <from>
                    <xdr:col>11</xdr:col>
                    <xdr:colOff>60960</xdr:colOff>
                    <xdr:row>63</xdr:row>
                    <xdr:rowOff>45720</xdr:rowOff>
                  </from>
                  <to>
                    <xdr:col>11</xdr:col>
                    <xdr:colOff>281940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9" r:id="rId296" name="Option Button 293">
              <controlPr defaultSize="0" autoFill="0" autoLine="0" autoPict="0">
                <anchor moveWithCells="1">
                  <from>
                    <xdr:col>13</xdr:col>
                    <xdr:colOff>53340</xdr:colOff>
                    <xdr:row>63</xdr:row>
                    <xdr:rowOff>45720</xdr:rowOff>
                  </from>
                  <to>
                    <xdr:col>13</xdr:col>
                    <xdr:colOff>266700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0" r:id="rId297" name="Option Button 294">
              <controlPr defaultSize="0" autoFill="0" autoLine="0" autoPict="0">
                <anchor moveWithCells="1">
                  <from>
                    <xdr:col>15</xdr:col>
                    <xdr:colOff>38100</xdr:colOff>
                    <xdr:row>63</xdr:row>
                    <xdr:rowOff>45720</xdr:rowOff>
                  </from>
                  <to>
                    <xdr:col>15</xdr:col>
                    <xdr:colOff>259080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1" r:id="rId298" name="Group Box 295">
              <controlPr defaultSize="0" print="0" autoFill="0" autoPict="0">
                <anchor moveWithCells="1">
                  <from>
                    <xdr:col>6</xdr:col>
                    <xdr:colOff>68580</xdr:colOff>
                    <xdr:row>64</xdr:row>
                    <xdr:rowOff>22860</xdr:rowOff>
                  </from>
                  <to>
                    <xdr:col>16</xdr:col>
                    <xdr:colOff>76200</xdr:colOff>
                    <xdr:row>64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2" r:id="rId299" name="Option Button 296">
              <controlPr defaultSize="0" autoFill="0" autoLine="0" autoPict="0">
                <anchor moveWithCells="1">
                  <from>
                    <xdr:col>7</xdr:col>
                    <xdr:colOff>76200</xdr:colOff>
                    <xdr:row>64</xdr:row>
                    <xdr:rowOff>53340</xdr:rowOff>
                  </from>
                  <to>
                    <xdr:col>7</xdr:col>
                    <xdr:colOff>297180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3" r:id="rId300" name="Option Button 297">
              <controlPr defaultSize="0" autoFill="0" autoLine="0" autoPict="0">
                <anchor moveWithCells="1">
                  <from>
                    <xdr:col>9</xdr:col>
                    <xdr:colOff>68580</xdr:colOff>
                    <xdr:row>64</xdr:row>
                    <xdr:rowOff>53340</xdr:rowOff>
                  </from>
                  <to>
                    <xdr:col>9</xdr:col>
                    <xdr:colOff>289560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4" r:id="rId301" name="Option Button 298">
              <controlPr defaultSize="0" autoFill="0" autoLine="0" autoPict="0">
                <anchor moveWithCells="1">
                  <from>
                    <xdr:col>11</xdr:col>
                    <xdr:colOff>60960</xdr:colOff>
                    <xdr:row>64</xdr:row>
                    <xdr:rowOff>53340</xdr:rowOff>
                  </from>
                  <to>
                    <xdr:col>11</xdr:col>
                    <xdr:colOff>281940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5" r:id="rId302" name="Option Button 299">
              <controlPr defaultSize="0" autoFill="0" autoLine="0" autoPict="0">
                <anchor moveWithCells="1">
                  <from>
                    <xdr:col>13</xdr:col>
                    <xdr:colOff>53340</xdr:colOff>
                    <xdr:row>64</xdr:row>
                    <xdr:rowOff>53340</xdr:rowOff>
                  </from>
                  <to>
                    <xdr:col>13</xdr:col>
                    <xdr:colOff>266700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6" r:id="rId303" name="Option Button 300">
              <controlPr defaultSize="0" autoFill="0" autoLine="0" autoPict="0">
                <anchor moveWithCells="1">
                  <from>
                    <xdr:col>15</xdr:col>
                    <xdr:colOff>38100</xdr:colOff>
                    <xdr:row>64</xdr:row>
                    <xdr:rowOff>53340</xdr:rowOff>
                  </from>
                  <to>
                    <xdr:col>15</xdr:col>
                    <xdr:colOff>259080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7" r:id="rId304" name="Group Box 301">
              <controlPr defaultSize="0" print="0" autoFill="0" autoPict="0">
                <anchor moveWithCells="1">
                  <from>
                    <xdr:col>6</xdr:col>
                    <xdr:colOff>68580</xdr:colOff>
                    <xdr:row>65</xdr:row>
                    <xdr:rowOff>7620</xdr:rowOff>
                  </from>
                  <to>
                    <xdr:col>16</xdr:col>
                    <xdr:colOff>76200</xdr:colOff>
                    <xdr:row>65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8" r:id="rId305" name="Option Button 302">
              <controlPr defaultSize="0" autoFill="0" autoLine="0" autoPict="0">
                <anchor moveWithCells="1">
                  <from>
                    <xdr:col>7</xdr:col>
                    <xdr:colOff>76200</xdr:colOff>
                    <xdr:row>65</xdr:row>
                    <xdr:rowOff>45720</xdr:rowOff>
                  </from>
                  <to>
                    <xdr:col>7</xdr:col>
                    <xdr:colOff>297180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9" r:id="rId306" name="Option Button 303">
              <controlPr defaultSize="0" autoFill="0" autoLine="0" autoPict="0">
                <anchor moveWithCells="1">
                  <from>
                    <xdr:col>9</xdr:col>
                    <xdr:colOff>68580</xdr:colOff>
                    <xdr:row>65</xdr:row>
                    <xdr:rowOff>45720</xdr:rowOff>
                  </from>
                  <to>
                    <xdr:col>9</xdr:col>
                    <xdr:colOff>289560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0" r:id="rId307" name="Option Button 304">
              <controlPr defaultSize="0" autoFill="0" autoLine="0" autoPict="0">
                <anchor moveWithCells="1">
                  <from>
                    <xdr:col>11</xdr:col>
                    <xdr:colOff>60960</xdr:colOff>
                    <xdr:row>65</xdr:row>
                    <xdr:rowOff>45720</xdr:rowOff>
                  </from>
                  <to>
                    <xdr:col>11</xdr:col>
                    <xdr:colOff>281940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1" r:id="rId308" name="Option Button 305">
              <controlPr defaultSize="0" autoFill="0" autoLine="0" autoPict="0">
                <anchor moveWithCells="1">
                  <from>
                    <xdr:col>13</xdr:col>
                    <xdr:colOff>53340</xdr:colOff>
                    <xdr:row>65</xdr:row>
                    <xdr:rowOff>45720</xdr:rowOff>
                  </from>
                  <to>
                    <xdr:col>13</xdr:col>
                    <xdr:colOff>266700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2" r:id="rId309" name="Option Button 306">
              <controlPr defaultSize="0" autoFill="0" autoLine="0" autoPict="0">
                <anchor moveWithCells="1">
                  <from>
                    <xdr:col>15</xdr:col>
                    <xdr:colOff>38100</xdr:colOff>
                    <xdr:row>65</xdr:row>
                    <xdr:rowOff>45720</xdr:rowOff>
                  </from>
                  <to>
                    <xdr:col>15</xdr:col>
                    <xdr:colOff>259080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3" r:id="rId310" name="Group Box 307">
              <controlPr defaultSize="0" print="0" autoFill="0" autoPict="0">
                <anchor moveWithCells="1">
                  <from>
                    <xdr:col>6</xdr:col>
                    <xdr:colOff>68580</xdr:colOff>
                    <xdr:row>66</xdr:row>
                    <xdr:rowOff>7620</xdr:rowOff>
                  </from>
                  <to>
                    <xdr:col>16</xdr:col>
                    <xdr:colOff>76200</xdr:colOff>
                    <xdr:row>66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4" r:id="rId311" name="Option Button 308">
              <controlPr defaultSize="0" autoFill="0" autoLine="0" autoPict="0">
                <anchor moveWithCells="1">
                  <from>
                    <xdr:col>7</xdr:col>
                    <xdr:colOff>76200</xdr:colOff>
                    <xdr:row>66</xdr:row>
                    <xdr:rowOff>45720</xdr:rowOff>
                  </from>
                  <to>
                    <xdr:col>7</xdr:col>
                    <xdr:colOff>297180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5" r:id="rId312" name="Option Button 309">
              <controlPr defaultSize="0" autoFill="0" autoLine="0" autoPict="0">
                <anchor moveWithCells="1">
                  <from>
                    <xdr:col>9</xdr:col>
                    <xdr:colOff>68580</xdr:colOff>
                    <xdr:row>66</xdr:row>
                    <xdr:rowOff>45720</xdr:rowOff>
                  </from>
                  <to>
                    <xdr:col>9</xdr:col>
                    <xdr:colOff>289560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6" r:id="rId313" name="Option Button 310">
              <controlPr defaultSize="0" autoFill="0" autoLine="0" autoPict="0">
                <anchor moveWithCells="1">
                  <from>
                    <xdr:col>11</xdr:col>
                    <xdr:colOff>60960</xdr:colOff>
                    <xdr:row>66</xdr:row>
                    <xdr:rowOff>45720</xdr:rowOff>
                  </from>
                  <to>
                    <xdr:col>11</xdr:col>
                    <xdr:colOff>281940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7" r:id="rId314" name="Option Button 311">
              <controlPr defaultSize="0" autoFill="0" autoLine="0" autoPict="0">
                <anchor moveWithCells="1">
                  <from>
                    <xdr:col>13</xdr:col>
                    <xdr:colOff>53340</xdr:colOff>
                    <xdr:row>66</xdr:row>
                    <xdr:rowOff>45720</xdr:rowOff>
                  </from>
                  <to>
                    <xdr:col>13</xdr:col>
                    <xdr:colOff>266700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8" r:id="rId315" name="Option Button 312">
              <controlPr defaultSize="0" autoFill="0" autoLine="0" autoPict="0">
                <anchor moveWithCells="1">
                  <from>
                    <xdr:col>15</xdr:col>
                    <xdr:colOff>38100</xdr:colOff>
                    <xdr:row>66</xdr:row>
                    <xdr:rowOff>45720</xdr:rowOff>
                  </from>
                  <to>
                    <xdr:col>15</xdr:col>
                    <xdr:colOff>259080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9" r:id="rId316" name="Group Box 313">
              <controlPr defaultSize="0" print="0" autoFill="0" autoPict="0">
                <anchor moveWithCells="1">
                  <from>
                    <xdr:col>6</xdr:col>
                    <xdr:colOff>68580</xdr:colOff>
                    <xdr:row>67</xdr:row>
                    <xdr:rowOff>7620</xdr:rowOff>
                  </from>
                  <to>
                    <xdr:col>16</xdr:col>
                    <xdr:colOff>76200</xdr:colOff>
                    <xdr:row>67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0" r:id="rId317" name="Option Button 314">
              <controlPr defaultSize="0" autoFill="0" autoLine="0" autoPict="0">
                <anchor moveWithCells="1">
                  <from>
                    <xdr:col>7</xdr:col>
                    <xdr:colOff>76200</xdr:colOff>
                    <xdr:row>67</xdr:row>
                    <xdr:rowOff>45720</xdr:rowOff>
                  </from>
                  <to>
                    <xdr:col>7</xdr:col>
                    <xdr:colOff>297180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1" r:id="rId318" name="Option Button 315">
              <controlPr defaultSize="0" autoFill="0" autoLine="0" autoPict="0">
                <anchor moveWithCells="1">
                  <from>
                    <xdr:col>9</xdr:col>
                    <xdr:colOff>68580</xdr:colOff>
                    <xdr:row>67</xdr:row>
                    <xdr:rowOff>45720</xdr:rowOff>
                  </from>
                  <to>
                    <xdr:col>9</xdr:col>
                    <xdr:colOff>289560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2" r:id="rId319" name="Option Button 316">
              <controlPr defaultSize="0" autoFill="0" autoLine="0" autoPict="0">
                <anchor moveWithCells="1">
                  <from>
                    <xdr:col>11</xdr:col>
                    <xdr:colOff>60960</xdr:colOff>
                    <xdr:row>67</xdr:row>
                    <xdr:rowOff>45720</xdr:rowOff>
                  </from>
                  <to>
                    <xdr:col>11</xdr:col>
                    <xdr:colOff>281940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3" r:id="rId320" name="Option Button 317">
              <controlPr defaultSize="0" autoFill="0" autoLine="0" autoPict="0">
                <anchor moveWithCells="1">
                  <from>
                    <xdr:col>13</xdr:col>
                    <xdr:colOff>53340</xdr:colOff>
                    <xdr:row>67</xdr:row>
                    <xdr:rowOff>45720</xdr:rowOff>
                  </from>
                  <to>
                    <xdr:col>13</xdr:col>
                    <xdr:colOff>266700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4" r:id="rId321" name="Option Button 318">
              <controlPr defaultSize="0" autoFill="0" autoLine="0" autoPict="0">
                <anchor moveWithCells="1">
                  <from>
                    <xdr:col>15</xdr:col>
                    <xdr:colOff>38100</xdr:colOff>
                    <xdr:row>67</xdr:row>
                    <xdr:rowOff>45720</xdr:rowOff>
                  </from>
                  <to>
                    <xdr:col>15</xdr:col>
                    <xdr:colOff>259080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5" r:id="rId322" name="Group Box 319">
              <controlPr defaultSize="0" print="0" autoFill="0" autoPict="0">
                <anchor moveWithCells="1">
                  <from>
                    <xdr:col>6</xdr:col>
                    <xdr:colOff>68580</xdr:colOff>
                    <xdr:row>70</xdr:row>
                    <xdr:rowOff>30480</xdr:rowOff>
                  </from>
                  <to>
                    <xdr:col>16</xdr:col>
                    <xdr:colOff>76200</xdr:colOff>
                    <xdr:row>70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6" r:id="rId323" name="Option Button 320">
              <controlPr defaultSize="0" autoFill="0" autoLine="0" autoPict="0">
                <anchor moveWithCells="1">
                  <from>
                    <xdr:col>7</xdr:col>
                    <xdr:colOff>76200</xdr:colOff>
                    <xdr:row>70</xdr:row>
                    <xdr:rowOff>60960</xdr:rowOff>
                  </from>
                  <to>
                    <xdr:col>7</xdr:col>
                    <xdr:colOff>297180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7" r:id="rId324" name="Option Button 321">
              <controlPr defaultSize="0" autoFill="0" autoLine="0" autoPict="0">
                <anchor moveWithCells="1">
                  <from>
                    <xdr:col>9</xdr:col>
                    <xdr:colOff>68580</xdr:colOff>
                    <xdr:row>70</xdr:row>
                    <xdr:rowOff>60960</xdr:rowOff>
                  </from>
                  <to>
                    <xdr:col>9</xdr:col>
                    <xdr:colOff>289560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8" r:id="rId325" name="Option Button 322">
              <controlPr defaultSize="0" autoFill="0" autoLine="0" autoPict="0">
                <anchor moveWithCells="1">
                  <from>
                    <xdr:col>11</xdr:col>
                    <xdr:colOff>60960</xdr:colOff>
                    <xdr:row>70</xdr:row>
                    <xdr:rowOff>60960</xdr:rowOff>
                  </from>
                  <to>
                    <xdr:col>11</xdr:col>
                    <xdr:colOff>281940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9" r:id="rId326" name="Option Button 323">
              <controlPr defaultSize="0" autoFill="0" autoLine="0" autoPict="0">
                <anchor moveWithCells="1">
                  <from>
                    <xdr:col>13</xdr:col>
                    <xdr:colOff>45720</xdr:colOff>
                    <xdr:row>70</xdr:row>
                    <xdr:rowOff>60960</xdr:rowOff>
                  </from>
                  <to>
                    <xdr:col>13</xdr:col>
                    <xdr:colOff>266700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0" r:id="rId327" name="Option Button 324">
              <controlPr defaultSize="0" autoFill="0" autoLine="0" autoPict="0">
                <anchor moveWithCells="1">
                  <from>
                    <xdr:col>15</xdr:col>
                    <xdr:colOff>38100</xdr:colOff>
                    <xdr:row>70</xdr:row>
                    <xdr:rowOff>60960</xdr:rowOff>
                  </from>
                  <to>
                    <xdr:col>15</xdr:col>
                    <xdr:colOff>259080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1" r:id="rId328" name="Group Box 325">
              <controlPr defaultSize="0" print="0" autoFill="0" autoPict="0">
                <anchor moveWithCells="1">
                  <from>
                    <xdr:col>6</xdr:col>
                    <xdr:colOff>68580</xdr:colOff>
                    <xdr:row>71</xdr:row>
                    <xdr:rowOff>7620</xdr:rowOff>
                  </from>
                  <to>
                    <xdr:col>16</xdr:col>
                    <xdr:colOff>76200</xdr:colOff>
                    <xdr:row>71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2" r:id="rId329" name="Option Button 326">
              <controlPr defaultSize="0" autoFill="0" autoLine="0" autoPict="0">
                <anchor moveWithCells="1">
                  <from>
                    <xdr:col>7</xdr:col>
                    <xdr:colOff>76200</xdr:colOff>
                    <xdr:row>71</xdr:row>
                    <xdr:rowOff>38100</xdr:rowOff>
                  </from>
                  <to>
                    <xdr:col>7</xdr:col>
                    <xdr:colOff>297180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3" r:id="rId330" name="Option Button 327">
              <controlPr defaultSize="0" autoFill="0" autoLine="0" autoPict="0">
                <anchor moveWithCells="1">
                  <from>
                    <xdr:col>9</xdr:col>
                    <xdr:colOff>68580</xdr:colOff>
                    <xdr:row>71</xdr:row>
                    <xdr:rowOff>38100</xdr:rowOff>
                  </from>
                  <to>
                    <xdr:col>9</xdr:col>
                    <xdr:colOff>289560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4" r:id="rId331" name="Option Button 328">
              <controlPr defaultSize="0" autoFill="0" autoLine="0" autoPict="0">
                <anchor moveWithCells="1">
                  <from>
                    <xdr:col>11</xdr:col>
                    <xdr:colOff>60960</xdr:colOff>
                    <xdr:row>71</xdr:row>
                    <xdr:rowOff>38100</xdr:rowOff>
                  </from>
                  <to>
                    <xdr:col>11</xdr:col>
                    <xdr:colOff>281940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5" r:id="rId332" name="Option Button 329">
              <controlPr defaultSize="0" autoFill="0" autoLine="0" autoPict="0">
                <anchor moveWithCells="1">
                  <from>
                    <xdr:col>13</xdr:col>
                    <xdr:colOff>45720</xdr:colOff>
                    <xdr:row>71</xdr:row>
                    <xdr:rowOff>38100</xdr:rowOff>
                  </from>
                  <to>
                    <xdr:col>13</xdr:col>
                    <xdr:colOff>266700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6" r:id="rId333" name="Option Button 330">
              <controlPr defaultSize="0" autoFill="0" autoLine="0" autoPict="0">
                <anchor moveWithCells="1">
                  <from>
                    <xdr:col>15</xdr:col>
                    <xdr:colOff>38100</xdr:colOff>
                    <xdr:row>71</xdr:row>
                    <xdr:rowOff>38100</xdr:rowOff>
                  </from>
                  <to>
                    <xdr:col>15</xdr:col>
                    <xdr:colOff>259080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7" r:id="rId334" name="Group Box 331">
              <controlPr defaultSize="0" print="0" autoFill="0" autoPict="0">
                <anchor moveWithCells="1">
                  <from>
                    <xdr:col>6</xdr:col>
                    <xdr:colOff>68580</xdr:colOff>
                    <xdr:row>72</xdr:row>
                    <xdr:rowOff>22860</xdr:rowOff>
                  </from>
                  <to>
                    <xdr:col>16</xdr:col>
                    <xdr:colOff>76200</xdr:colOff>
                    <xdr:row>72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8" r:id="rId335" name="Option Button 332">
              <controlPr defaultSize="0" autoFill="0" autoLine="0" autoPict="0">
                <anchor moveWithCells="1">
                  <from>
                    <xdr:col>7</xdr:col>
                    <xdr:colOff>76200</xdr:colOff>
                    <xdr:row>72</xdr:row>
                    <xdr:rowOff>45720</xdr:rowOff>
                  </from>
                  <to>
                    <xdr:col>7</xdr:col>
                    <xdr:colOff>297180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9" r:id="rId336" name="Option Button 333">
              <controlPr defaultSize="0" autoFill="0" autoLine="0" autoPict="0">
                <anchor moveWithCells="1">
                  <from>
                    <xdr:col>9</xdr:col>
                    <xdr:colOff>68580</xdr:colOff>
                    <xdr:row>72</xdr:row>
                    <xdr:rowOff>45720</xdr:rowOff>
                  </from>
                  <to>
                    <xdr:col>9</xdr:col>
                    <xdr:colOff>289560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0" r:id="rId337" name="Option Button 334">
              <controlPr defaultSize="0" autoFill="0" autoLine="0" autoPict="0">
                <anchor moveWithCells="1">
                  <from>
                    <xdr:col>11</xdr:col>
                    <xdr:colOff>60960</xdr:colOff>
                    <xdr:row>72</xdr:row>
                    <xdr:rowOff>45720</xdr:rowOff>
                  </from>
                  <to>
                    <xdr:col>11</xdr:col>
                    <xdr:colOff>281940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1" r:id="rId338" name="Option Button 335">
              <controlPr defaultSize="0" autoFill="0" autoLine="0" autoPict="0">
                <anchor moveWithCells="1">
                  <from>
                    <xdr:col>13</xdr:col>
                    <xdr:colOff>45720</xdr:colOff>
                    <xdr:row>72</xdr:row>
                    <xdr:rowOff>45720</xdr:rowOff>
                  </from>
                  <to>
                    <xdr:col>13</xdr:col>
                    <xdr:colOff>266700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2" r:id="rId339" name="Option Button 336">
              <controlPr defaultSize="0" autoFill="0" autoLine="0" autoPict="0">
                <anchor moveWithCells="1">
                  <from>
                    <xdr:col>15</xdr:col>
                    <xdr:colOff>38100</xdr:colOff>
                    <xdr:row>72</xdr:row>
                    <xdr:rowOff>45720</xdr:rowOff>
                  </from>
                  <to>
                    <xdr:col>15</xdr:col>
                    <xdr:colOff>259080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3" r:id="rId340" name="Group Box 337">
              <controlPr defaultSize="0" print="0" autoFill="0" autoPict="0">
                <anchor moveWithCells="1">
                  <from>
                    <xdr:col>6</xdr:col>
                    <xdr:colOff>68580</xdr:colOff>
                    <xdr:row>73</xdr:row>
                    <xdr:rowOff>22860</xdr:rowOff>
                  </from>
                  <to>
                    <xdr:col>16</xdr:col>
                    <xdr:colOff>76200</xdr:colOff>
                    <xdr:row>73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4" r:id="rId341" name="Option Button 338">
              <controlPr defaultSize="0" autoFill="0" autoLine="0" autoPict="0">
                <anchor moveWithCells="1">
                  <from>
                    <xdr:col>7</xdr:col>
                    <xdr:colOff>76200</xdr:colOff>
                    <xdr:row>73</xdr:row>
                    <xdr:rowOff>45720</xdr:rowOff>
                  </from>
                  <to>
                    <xdr:col>7</xdr:col>
                    <xdr:colOff>297180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5" r:id="rId342" name="Option Button 339">
              <controlPr defaultSize="0" autoFill="0" autoLine="0" autoPict="0">
                <anchor moveWithCells="1">
                  <from>
                    <xdr:col>9</xdr:col>
                    <xdr:colOff>68580</xdr:colOff>
                    <xdr:row>73</xdr:row>
                    <xdr:rowOff>45720</xdr:rowOff>
                  </from>
                  <to>
                    <xdr:col>9</xdr:col>
                    <xdr:colOff>289560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6" r:id="rId343" name="Option Button 340">
              <controlPr defaultSize="0" autoFill="0" autoLine="0" autoPict="0">
                <anchor moveWithCells="1">
                  <from>
                    <xdr:col>11</xdr:col>
                    <xdr:colOff>60960</xdr:colOff>
                    <xdr:row>73</xdr:row>
                    <xdr:rowOff>45720</xdr:rowOff>
                  </from>
                  <to>
                    <xdr:col>11</xdr:col>
                    <xdr:colOff>281940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7" r:id="rId344" name="Option Button 341">
              <controlPr defaultSize="0" autoFill="0" autoLine="0" autoPict="0">
                <anchor moveWithCells="1">
                  <from>
                    <xdr:col>13</xdr:col>
                    <xdr:colOff>45720</xdr:colOff>
                    <xdr:row>73</xdr:row>
                    <xdr:rowOff>45720</xdr:rowOff>
                  </from>
                  <to>
                    <xdr:col>13</xdr:col>
                    <xdr:colOff>266700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8" r:id="rId345" name="Option Button 342">
              <controlPr defaultSize="0" autoFill="0" autoLine="0" autoPict="0">
                <anchor moveWithCells="1">
                  <from>
                    <xdr:col>15</xdr:col>
                    <xdr:colOff>38100</xdr:colOff>
                    <xdr:row>73</xdr:row>
                    <xdr:rowOff>45720</xdr:rowOff>
                  </from>
                  <to>
                    <xdr:col>15</xdr:col>
                    <xdr:colOff>259080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9" r:id="rId346" name="Group Box 343">
              <controlPr defaultSize="0" print="0" autoFill="0" autoPict="0">
                <anchor moveWithCells="1">
                  <from>
                    <xdr:col>6</xdr:col>
                    <xdr:colOff>68580</xdr:colOff>
                    <xdr:row>74</xdr:row>
                    <xdr:rowOff>30480</xdr:rowOff>
                  </from>
                  <to>
                    <xdr:col>16</xdr:col>
                    <xdr:colOff>76200</xdr:colOff>
                    <xdr:row>74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0" r:id="rId347" name="Option Button 344">
              <controlPr defaultSize="0" autoFill="0" autoLine="0" autoPict="0">
                <anchor moveWithCells="1">
                  <from>
                    <xdr:col>7</xdr:col>
                    <xdr:colOff>76200</xdr:colOff>
                    <xdr:row>74</xdr:row>
                    <xdr:rowOff>60960</xdr:rowOff>
                  </from>
                  <to>
                    <xdr:col>7</xdr:col>
                    <xdr:colOff>297180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1" r:id="rId348" name="Option Button 345">
              <controlPr defaultSize="0" autoFill="0" autoLine="0" autoPict="0">
                <anchor moveWithCells="1">
                  <from>
                    <xdr:col>9</xdr:col>
                    <xdr:colOff>68580</xdr:colOff>
                    <xdr:row>74</xdr:row>
                    <xdr:rowOff>60960</xdr:rowOff>
                  </from>
                  <to>
                    <xdr:col>9</xdr:col>
                    <xdr:colOff>289560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2" r:id="rId349" name="Option Button 346">
              <controlPr defaultSize="0" autoFill="0" autoLine="0" autoPict="0">
                <anchor moveWithCells="1">
                  <from>
                    <xdr:col>11</xdr:col>
                    <xdr:colOff>60960</xdr:colOff>
                    <xdr:row>74</xdr:row>
                    <xdr:rowOff>60960</xdr:rowOff>
                  </from>
                  <to>
                    <xdr:col>11</xdr:col>
                    <xdr:colOff>281940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3" r:id="rId350" name="Option Button 347">
              <controlPr defaultSize="0" autoFill="0" autoLine="0" autoPict="0">
                <anchor moveWithCells="1">
                  <from>
                    <xdr:col>13</xdr:col>
                    <xdr:colOff>45720</xdr:colOff>
                    <xdr:row>74</xdr:row>
                    <xdr:rowOff>60960</xdr:rowOff>
                  </from>
                  <to>
                    <xdr:col>13</xdr:col>
                    <xdr:colOff>266700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4" r:id="rId351" name="Option Button 348">
              <controlPr defaultSize="0" autoFill="0" autoLine="0" autoPict="0">
                <anchor moveWithCells="1">
                  <from>
                    <xdr:col>15</xdr:col>
                    <xdr:colOff>38100</xdr:colOff>
                    <xdr:row>74</xdr:row>
                    <xdr:rowOff>60960</xdr:rowOff>
                  </from>
                  <to>
                    <xdr:col>15</xdr:col>
                    <xdr:colOff>259080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5" r:id="rId352" name="Group Box 349">
              <controlPr defaultSize="0" print="0" autoFill="0" autoPict="0">
                <anchor moveWithCells="1">
                  <from>
                    <xdr:col>6</xdr:col>
                    <xdr:colOff>68580</xdr:colOff>
                    <xdr:row>75</xdr:row>
                    <xdr:rowOff>22860</xdr:rowOff>
                  </from>
                  <to>
                    <xdr:col>16</xdr:col>
                    <xdr:colOff>76200</xdr:colOff>
                    <xdr:row>75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6" r:id="rId353" name="Option Button 350">
              <controlPr defaultSize="0" autoFill="0" autoLine="0" autoPict="0">
                <anchor moveWithCells="1">
                  <from>
                    <xdr:col>7</xdr:col>
                    <xdr:colOff>76200</xdr:colOff>
                    <xdr:row>75</xdr:row>
                    <xdr:rowOff>45720</xdr:rowOff>
                  </from>
                  <to>
                    <xdr:col>7</xdr:col>
                    <xdr:colOff>297180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7" r:id="rId354" name="Option Button 351">
              <controlPr defaultSize="0" autoFill="0" autoLine="0" autoPict="0">
                <anchor moveWithCells="1">
                  <from>
                    <xdr:col>9</xdr:col>
                    <xdr:colOff>68580</xdr:colOff>
                    <xdr:row>75</xdr:row>
                    <xdr:rowOff>45720</xdr:rowOff>
                  </from>
                  <to>
                    <xdr:col>9</xdr:col>
                    <xdr:colOff>289560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8" r:id="rId355" name="Option Button 352">
              <controlPr defaultSize="0" autoFill="0" autoLine="0" autoPict="0">
                <anchor moveWithCells="1">
                  <from>
                    <xdr:col>11</xdr:col>
                    <xdr:colOff>60960</xdr:colOff>
                    <xdr:row>75</xdr:row>
                    <xdr:rowOff>45720</xdr:rowOff>
                  </from>
                  <to>
                    <xdr:col>11</xdr:col>
                    <xdr:colOff>281940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9" r:id="rId356" name="Option Button 353">
              <controlPr defaultSize="0" autoFill="0" autoLine="0" autoPict="0">
                <anchor moveWithCells="1">
                  <from>
                    <xdr:col>13</xdr:col>
                    <xdr:colOff>45720</xdr:colOff>
                    <xdr:row>75</xdr:row>
                    <xdr:rowOff>45720</xdr:rowOff>
                  </from>
                  <to>
                    <xdr:col>13</xdr:col>
                    <xdr:colOff>266700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90" r:id="rId357" name="Option Button 354">
              <controlPr defaultSize="0" autoFill="0" autoLine="0" autoPict="0">
                <anchor moveWithCells="1">
                  <from>
                    <xdr:col>15</xdr:col>
                    <xdr:colOff>38100</xdr:colOff>
                    <xdr:row>75</xdr:row>
                    <xdr:rowOff>45720</xdr:rowOff>
                  </from>
                  <to>
                    <xdr:col>15</xdr:col>
                    <xdr:colOff>259080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91" r:id="rId358" name="Drop Down 355">
              <controlPr defaultSize="0" print="0" autoLine="0" autoPict="0">
                <anchor moveWithCells="1">
                  <from>
                    <xdr:col>20</xdr:col>
                    <xdr:colOff>1722120</xdr:colOff>
                    <xdr:row>1</xdr:row>
                    <xdr:rowOff>60960</xdr:rowOff>
                  </from>
                  <to>
                    <xdr:col>20</xdr:col>
                    <xdr:colOff>2590800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" id="{A8EF500A-0B41-41F9-ACA8-632CCD3A77BB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W79:X81</xm:sqref>
        </x14:conditionalFormatting>
        <x14:conditionalFormatting xmlns:xm="http://schemas.microsoft.com/office/excel/2006/main">
          <x14:cfRule type="iconSet" priority="10" id="{67AF7628-B269-4DA2-A9D4-2EE94BE5209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Z4</xm:sqref>
        </x14:conditionalFormatting>
        <x14:conditionalFormatting xmlns:xm="http://schemas.microsoft.com/office/excel/2006/main">
          <x14:cfRule type="iconSet" priority="9" id="{E84215C8-D362-4A8E-A8F6-3491C004258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0" tint="-0.499984740745262"/>
    <pageSetUpPr fitToPage="1"/>
  </sheetPr>
  <dimension ref="A1:G57"/>
  <sheetViews>
    <sheetView showGridLines="0" zoomScaleNormal="100" workbookViewId="0">
      <pane ySplit="4" topLeftCell="A5" activePane="bottomLeft" state="frozen"/>
      <selection activeCell="N13" sqref="N13"/>
      <selection pane="bottomLeft" activeCell="C5" sqref="C5"/>
    </sheetView>
  </sheetViews>
  <sheetFormatPr baseColWidth="10" defaultColWidth="11.44140625" defaultRowHeight="14.4" x14ac:dyDescent="0.3"/>
  <cols>
    <col min="1" max="1" width="7" style="110" customWidth="1"/>
    <col min="2" max="2" width="8.88671875" style="66" customWidth="1"/>
    <col min="3" max="3" width="26.44140625" style="66" customWidth="1"/>
    <col min="4" max="4" width="10.6640625" style="66" customWidth="1"/>
    <col min="5" max="5" width="52.6640625" style="179" customWidth="1"/>
    <col min="6" max="6" width="11.33203125" style="179" bestFit="1" customWidth="1"/>
    <col min="7" max="7" width="7.44140625" style="488" customWidth="1"/>
    <col min="8" max="249" width="9.109375" style="66" customWidth="1"/>
    <col min="250" max="16384" width="11.44140625" style="66"/>
  </cols>
  <sheetData>
    <row r="1" spans="1:7" s="109" customFormat="1" ht="45" customHeight="1" x14ac:dyDescent="0.3">
      <c r="A1" s="166"/>
      <c r="B1" s="103" t="str">
        <f ca="1">' '!A58</f>
        <v>A N P A S S U N G   D E R   P R O Z E S S E</v>
      </c>
      <c r="C1" s="103"/>
      <c r="D1" s="103"/>
      <c r="E1" s="167"/>
      <c r="F1" s="167"/>
      <c r="G1" s="122"/>
    </row>
    <row r="2" spans="1:7" s="170" customFormat="1" ht="14.25" customHeight="1" x14ac:dyDescent="0.3">
      <c r="B2" s="487"/>
      <c r="C2" s="487"/>
      <c r="D2" s="487"/>
      <c r="E2" s="487"/>
      <c r="G2" s="110"/>
    </row>
    <row r="3" spans="1:7" s="174" customFormat="1" ht="10.5" customHeight="1" x14ac:dyDescent="0.3">
      <c r="A3" s="170"/>
      <c r="B3" s="173"/>
      <c r="D3" s="170"/>
      <c r="G3" s="488"/>
    </row>
    <row r="4" spans="1:7" ht="33" customHeight="1" x14ac:dyDescent="0.3">
      <c r="B4" s="176" t="str">
        <f ca="1">' '!A299</f>
        <v>Ranking</v>
      </c>
      <c r="C4" s="177" t="str">
        <f ca="1">' '!A59</f>
        <v>Prozess</v>
      </c>
      <c r="D4" s="177" t="str">
        <f ca="1">' '!A63</f>
        <v>Kunden-nutzen</v>
      </c>
      <c r="E4" s="177" t="str">
        <f ca="1">' '!A60</f>
        <v>Anpassungen</v>
      </c>
      <c r="F4" s="177" t="str">
        <f ca="1">' '!A62</f>
        <v>Datum</v>
      </c>
      <c r="G4" s="178" t="str">
        <f ca="1">' '!A64</f>
        <v>Status</v>
      </c>
    </row>
    <row r="5" spans="1:7" s="186" customFormat="1" ht="23.4" x14ac:dyDescent="0.3">
      <c r="A5" s="110"/>
      <c r="B5" s="489">
        <f>IF(D5="","",RANK(D5,D$5:D$24)+COUNTIF(D$5:D5,D5)-1)</f>
        <v>6</v>
      </c>
      <c r="C5" s="490" t="s">
        <v>573</v>
      </c>
      <c r="D5" s="491">
        <v>1</v>
      </c>
      <c r="E5" s="490"/>
      <c r="F5" s="492">
        <v>41640</v>
      </c>
      <c r="G5" s="270">
        <v>2</v>
      </c>
    </row>
    <row r="6" spans="1:7" s="186" customFormat="1" ht="23.4" x14ac:dyDescent="0.3">
      <c r="A6" s="110"/>
      <c r="B6" s="489">
        <f>IF(D6="","",RANK(D6,D$5:D$24)+COUNTIF(D$5:D6,D6)-1)</f>
        <v>1</v>
      </c>
      <c r="C6" s="490" t="s">
        <v>574</v>
      </c>
      <c r="D6" s="491">
        <v>10</v>
      </c>
      <c r="E6" s="490"/>
      <c r="F6" s="492"/>
      <c r="G6" s="267"/>
    </row>
    <row r="7" spans="1:7" s="186" customFormat="1" ht="23.4" x14ac:dyDescent="0.3">
      <c r="A7" s="110"/>
      <c r="B7" s="489">
        <f>IF(D7="","",RANK(D7,D$5:D$24)+COUNTIF(D$5:D7,D7)-1)</f>
        <v>4</v>
      </c>
      <c r="C7" s="490" t="s">
        <v>575</v>
      </c>
      <c r="D7" s="491">
        <v>5</v>
      </c>
      <c r="E7" s="490"/>
      <c r="F7" s="492"/>
      <c r="G7" s="270"/>
    </row>
    <row r="8" spans="1:7" s="186" customFormat="1" ht="23.4" x14ac:dyDescent="0.3">
      <c r="A8" s="110"/>
      <c r="B8" s="489">
        <f>IF(D8="","",RANK(D8,D$5:D$24)+COUNTIF(D$5:D8,D8)-1)</f>
        <v>7</v>
      </c>
      <c r="C8" s="490" t="s">
        <v>576</v>
      </c>
      <c r="D8" s="491">
        <v>1</v>
      </c>
      <c r="E8" s="490"/>
      <c r="F8" s="492"/>
      <c r="G8" s="267"/>
    </row>
    <row r="9" spans="1:7" s="186" customFormat="1" ht="23.4" x14ac:dyDescent="0.3">
      <c r="A9" s="110"/>
      <c r="B9" s="489">
        <f>IF(D9="","",RANK(D9,D$5:D$24)+COUNTIF(D$5:D9,D9)-1)</f>
        <v>5</v>
      </c>
      <c r="C9" s="490" t="s">
        <v>577</v>
      </c>
      <c r="D9" s="491">
        <v>3</v>
      </c>
      <c r="E9" s="490"/>
      <c r="F9" s="492"/>
      <c r="G9" s="270"/>
    </row>
    <row r="10" spans="1:7" s="186" customFormat="1" ht="23.4" x14ac:dyDescent="0.3">
      <c r="A10" s="110"/>
      <c r="B10" s="489">
        <f>IF(D10="","",RANK(D10,D$5:D$24)+COUNTIF(D$5:D10,D10)-1)</f>
        <v>3</v>
      </c>
      <c r="C10" s="490" t="s">
        <v>578</v>
      </c>
      <c r="D10" s="491">
        <v>9</v>
      </c>
      <c r="E10" s="490"/>
      <c r="F10" s="492"/>
      <c r="G10" s="267"/>
    </row>
    <row r="11" spans="1:7" s="186" customFormat="1" ht="23.4" x14ac:dyDescent="0.3">
      <c r="A11" s="110"/>
      <c r="B11" s="489">
        <f>IF(D11="","",RANK(D11,D$5:D$24)+COUNTIF(D$5:D11,D11)-1)</f>
        <v>2</v>
      </c>
      <c r="C11" s="490" t="s">
        <v>579</v>
      </c>
      <c r="D11" s="491">
        <v>10</v>
      </c>
      <c r="E11" s="490"/>
      <c r="F11" s="492"/>
      <c r="G11" s="270"/>
    </row>
    <row r="12" spans="1:7" s="186" customFormat="1" ht="23.4" x14ac:dyDescent="0.3">
      <c r="A12" s="110"/>
      <c r="B12" s="489" t="str">
        <f>IF(D12="","",RANK(D12,D$5:D$24)+COUNTIF(D$5:D12,D12)-1)</f>
        <v/>
      </c>
      <c r="C12" s="490" t="s">
        <v>580</v>
      </c>
      <c r="D12" s="491"/>
      <c r="E12" s="490"/>
      <c r="F12" s="492"/>
      <c r="G12" s="267"/>
    </row>
    <row r="13" spans="1:7" s="186" customFormat="1" ht="23.4" x14ac:dyDescent="0.3">
      <c r="A13" s="110"/>
      <c r="B13" s="489" t="str">
        <f>IF(D13="","",RANK(D13,D$5:D$24)+COUNTIF(D$5:D13,D13)-1)</f>
        <v/>
      </c>
      <c r="C13" s="490" t="s">
        <v>581</v>
      </c>
      <c r="D13" s="491"/>
      <c r="E13" s="490"/>
      <c r="F13" s="492"/>
      <c r="G13" s="270"/>
    </row>
    <row r="14" spans="1:7" s="186" customFormat="1" ht="23.4" x14ac:dyDescent="0.3">
      <c r="A14" s="110"/>
      <c r="B14" s="489" t="str">
        <f>IF(D14="","",RANK(D14,D$5:D$24)+COUNTIF(D$5:D14,D14)-1)</f>
        <v/>
      </c>
      <c r="C14" s="490" t="s">
        <v>582</v>
      </c>
      <c r="D14" s="491"/>
      <c r="E14" s="490"/>
      <c r="F14" s="492"/>
      <c r="G14" s="267"/>
    </row>
    <row r="15" spans="1:7" s="186" customFormat="1" ht="23.4" x14ac:dyDescent="0.3">
      <c r="A15" s="110"/>
      <c r="B15" s="489" t="str">
        <f>IF(D15="","",RANK(D15,D$5:D$24)+COUNTIF(D$5:D15,D15)-1)</f>
        <v/>
      </c>
      <c r="C15" s="490" t="s">
        <v>583</v>
      </c>
      <c r="D15" s="491"/>
      <c r="E15" s="490"/>
      <c r="F15" s="492"/>
      <c r="G15" s="270"/>
    </row>
    <row r="16" spans="1:7" s="186" customFormat="1" ht="23.4" x14ac:dyDescent="0.3">
      <c r="A16" s="110"/>
      <c r="B16" s="489" t="str">
        <f>IF(D16="","",RANK(D16,D$5:D$24)+COUNTIF(D$5:D16,D16)-1)</f>
        <v/>
      </c>
      <c r="C16" s="490" t="s">
        <v>584</v>
      </c>
      <c r="D16" s="491"/>
      <c r="E16" s="490"/>
      <c r="F16" s="492"/>
      <c r="G16" s="267"/>
    </row>
    <row r="17" spans="1:7" s="186" customFormat="1" ht="23.4" x14ac:dyDescent="0.3">
      <c r="A17" s="110"/>
      <c r="B17" s="489" t="str">
        <f>IF(D17="","",RANK(D17,D$5:D$24)+COUNTIF(D$5:D17,D17)-1)</f>
        <v/>
      </c>
      <c r="C17" s="490" t="s">
        <v>585</v>
      </c>
      <c r="D17" s="491"/>
      <c r="E17" s="490"/>
      <c r="F17" s="492"/>
      <c r="G17" s="267"/>
    </row>
    <row r="18" spans="1:7" s="186" customFormat="1" ht="23.4" x14ac:dyDescent="0.3">
      <c r="A18" s="110"/>
      <c r="B18" s="489" t="str">
        <f>IF(D18="","",RANK(D18,D$5:D$24)+COUNTIF(D$5:D18,D18)-1)</f>
        <v/>
      </c>
      <c r="C18" s="490" t="s">
        <v>586</v>
      </c>
      <c r="D18" s="491"/>
      <c r="E18" s="490"/>
      <c r="F18" s="492"/>
      <c r="G18" s="270"/>
    </row>
    <row r="19" spans="1:7" s="186" customFormat="1" ht="23.4" x14ac:dyDescent="0.3">
      <c r="A19" s="110"/>
      <c r="B19" s="489" t="str">
        <f>IF(D19="","",RANK(D19,D$5:D$24)+COUNTIF(D$5:D19,D19)-1)</f>
        <v/>
      </c>
      <c r="C19" s="490" t="s">
        <v>587</v>
      </c>
      <c r="D19" s="491"/>
      <c r="E19" s="490"/>
      <c r="F19" s="492"/>
      <c r="G19" s="267"/>
    </row>
    <row r="20" spans="1:7" s="186" customFormat="1" ht="23.4" x14ac:dyDescent="0.3">
      <c r="A20" s="110"/>
      <c r="B20" s="489" t="str">
        <f>IF(D20="","",RANK(D20,D$5:D$24)+COUNTIF(D$5:D20,D20)-1)</f>
        <v/>
      </c>
      <c r="C20" s="490" t="s">
        <v>588</v>
      </c>
      <c r="D20" s="491"/>
      <c r="E20" s="490"/>
      <c r="F20" s="492"/>
      <c r="G20" s="270"/>
    </row>
    <row r="21" spans="1:7" s="186" customFormat="1" ht="23.4" x14ac:dyDescent="0.3">
      <c r="A21" s="110"/>
      <c r="B21" s="489" t="str">
        <f>IF(D21="","",RANK(D21,D$5:D$24)+COUNTIF(D$5:D21,D21)-1)</f>
        <v/>
      </c>
      <c r="C21" s="490" t="s">
        <v>589</v>
      </c>
      <c r="D21" s="491"/>
      <c r="E21" s="490"/>
      <c r="F21" s="492"/>
      <c r="G21" s="267"/>
    </row>
    <row r="22" spans="1:7" s="186" customFormat="1" ht="23.4" x14ac:dyDescent="0.3">
      <c r="A22" s="110"/>
      <c r="B22" s="489" t="str">
        <f>IF(D22="","",RANK(D22,D$5:D$24)+COUNTIF(D$5:D22,D22)-1)</f>
        <v/>
      </c>
      <c r="C22" s="490" t="s">
        <v>590</v>
      </c>
      <c r="D22" s="491"/>
      <c r="E22" s="490"/>
      <c r="F22" s="492"/>
      <c r="G22" s="267"/>
    </row>
    <row r="23" spans="1:7" s="186" customFormat="1" ht="23.4" x14ac:dyDescent="0.3">
      <c r="A23" s="110"/>
      <c r="B23" s="489" t="str">
        <f>IF(D23="","",RANK(D23,D$5:D$24)+COUNTIF(D$5:D23,D23)-1)</f>
        <v/>
      </c>
      <c r="C23" s="490" t="s">
        <v>591</v>
      </c>
      <c r="D23" s="491"/>
      <c r="E23" s="490"/>
      <c r="F23" s="492"/>
      <c r="G23" s="270"/>
    </row>
    <row r="24" spans="1:7" s="186" customFormat="1" ht="23.4" x14ac:dyDescent="0.3">
      <c r="A24" s="110"/>
      <c r="B24" s="493" t="str">
        <f>IF(D24="","",RANK(D24,D$5:D$24)+COUNTIF(D$5:D24,D24)-1)</f>
        <v/>
      </c>
      <c r="C24" s="494" t="s">
        <v>592</v>
      </c>
      <c r="D24" s="495"/>
      <c r="E24" s="494"/>
      <c r="F24" s="496"/>
      <c r="G24" s="497"/>
    </row>
    <row r="25" spans="1:7" x14ac:dyDescent="0.3">
      <c r="A25" s="170"/>
      <c r="B25" s="74" t="s">
        <v>2103</v>
      </c>
      <c r="E25" s="66"/>
      <c r="F25" s="66"/>
    </row>
    <row r="26" spans="1:7" x14ac:dyDescent="0.3">
      <c r="A26" s="170"/>
      <c r="E26" s="66"/>
      <c r="F26" s="66"/>
    </row>
    <row r="27" spans="1:7" x14ac:dyDescent="0.3">
      <c r="A27" s="170"/>
      <c r="E27" s="66"/>
      <c r="F27" s="66"/>
    </row>
    <row r="28" spans="1:7" x14ac:dyDescent="0.3">
      <c r="A28" s="170"/>
      <c r="B28" s="179" t="s">
        <v>0</v>
      </c>
      <c r="C28" s="179" t="s">
        <v>1</v>
      </c>
      <c r="D28" s="179" t="s">
        <v>2</v>
      </c>
      <c r="E28" s="180" t="s">
        <v>3</v>
      </c>
      <c r="F28" s="498"/>
    </row>
    <row r="29" spans="1:7" x14ac:dyDescent="0.3">
      <c r="A29" s="170"/>
      <c r="B29" s="184" t="str">
        <f t="shared" ref="B29:B48" si="0">IF(D5="","",INDEX($B$5:$D$24,MATCH(D29,$B$5:$B$24,0),2))</f>
        <v>Process 2</v>
      </c>
      <c r="C29" s="184">
        <f t="shared" ref="C29:C48" si="1">IF(D5="","",INDEX($B$5:$D$24,MATCH(D29,$B$5:$B$24,0),3))</f>
        <v>10</v>
      </c>
      <c r="D29" s="184">
        <v>1</v>
      </c>
      <c r="E29" s="185">
        <f>IF(C29="","",C29/SUM($C$29:$C$48))</f>
        <v>0.25641025641025639</v>
      </c>
      <c r="F29" s="499"/>
    </row>
    <row r="30" spans="1:7" x14ac:dyDescent="0.3">
      <c r="A30" s="170"/>
      <c r="B30" s="184" t="str">
        <f t="shared" si="0"/>
        <v>Process 7</v>
      </c>
      <c r="C30" s="184">
        <f t="shared" si="1"/>
        <v>10</v>
      </c>
      <c r="D30" s="184">
        <v>2</v>
      </c>
      <c r="E30" s="185">
        <f t="shared" ref="E30:E48" si="2">IF(C30="","",(C30/SUM($C$29:$C$48)+E29))</f>
        <v>0.51282051282051277</v>
      </c>
      <c r="F30" s="499"/>
    </row>
    <row r="31" spans="1:7" x14ac:dyDescent="0.3">
      <c r="A31" s="170"/>
      <c r="B31" s="184" t="str">
        <f t="shared" si="0"/>
        <v>Process 6</v>
      </c>
      <c r="C31" s="184">
        <f t="shared" si="1"/>
        <v>9</v>
      </c>
      <c r="D31" s="184">
        <v>3</v>
      </c>
      <c r="E31" s="185">
        <f t="shared" si="2"/>
        <v>0.74358974358974361</v>
      </c>
      <c r="F31" s="499"/>
    </row>
    <row r="32" spans="1:7" x14ac:dyDescent="0.3">
      <c r="A32" s="170"/>
      <c r="B32" s="184" t="str">
        <f t="shared" si="0"/>
        <v>Process 3</v>
      </c>
      <c r="C32" s="184">
        <f t="shared" si="1"/>
        <v>5</v>
      </c>
      <c r="D32" s="184">
        <v>4</v>
      </c>
      <c r="E32" s="185">
        <f t="shared" si="2"/>
        <v>0.87179487179487181</v>
      </c>
      <c r="F32" s="499"/>
    </row>
    <row r="33" spans="1:6" x14ac:dyDescent="0.3">
      <c r="A33" s="170"/>
      <c r="B33" s="184" t="str">
        <f t="shared" si="0"/>
        <v>Process 5</v>
      </c>
      <c r="C33" s="184">
        <f t="shared" si="1"/>
        <v>3</v>
      </c>
      <c r="D33" s="184">
        <v>5</v>
      </c>
      <c r="E33" s="185">
        <f t="shared" si="2"/>
        <v>0.94871794871794868</v>
      </c>
      <c r="F33" s="499"/>
    </row>
    <row r="34" spans="1:6" x14ac:dyDescent="0.3">
      <c r="A34" s="170"/>
      <c r="B34" s="184" t="str">
        <f t="shared" si="0"/>
        <v>Process 1</v>
      </c>
      <c r="C34" s="184">
        <f t="shared" si="1"/>
        <v>1</v>
      </c>
      <c r="D34" s="184">
        <v>6</v>
      </c>
      <c r="E34" s="185">
        <f t="shared" si="2"/>
        <v>0.97435897435897434</v>
      </c>
      <c r="F34" s="499"/>
    </row>
    <row r="35" spans="1:6" x14ac:dyDescent="0.3">
      <c r="A35" s="170"/>
      <c r="B35" s="184" t="str">
        <f t="shared" si="0"/>
        <v>Process 4</v>
      </c>
      <c r="C35" s="184">
        <f t="shared" si="1"/>
        <v>1</v>
      </c>
      <c r="D35" s="184">
        <v>7</v>
      </c>
      <c r="E35" s="185">
        <f t="shared" si="2"/>
        <v>1</v>
      </c>
      <c r="F35" s="499"/>
    </row>
    <row r="36" spans="1:6" x14ac:dyDescent="0.3">
      <c r="A36" s="170"/>
      <c r="B36" s="184" t="str">
        <f t="shared" si="0"/>
        <v/>
      </c>
      <c r="C36" s="184" t="str">
        <f t="shared" si="1"/>
        <v/>
      </c>
      <c r="D36" s="184">
        <v>8</v>
      </c>
      <c r="E36" s="185" t="str">
        <f t="shared" si="2"/>
        <v/>
      </c>
      <c r="F36" s="499"/>
    </row>
    <row r="37" spans="1:6" x14ac:dyDescent="0.3">
      <c r="A37" s="170"/>
      <c r="B37" s="184" t="str">
        <f t="shared" si="0"/>
        <v/>
      </c>
      <c r="C37" s="184" t="str">
        <f t="shared" si="1"/>
        <v/>
      </c>
      <c r="D37" s="184">
        <v>9</v>
      </c>
      <c r="E37" s="185" t="str">
        <f t="shared" si="2"/>
        <v/>
      </c>
      <c r="F37" s="499"/>
    </row>
    <row r="38" spans="1:6" x14ac:dyDescent="0.3">
      <c r="A38" s="170"/>
      <c r="B38" s="184" t="str">
        <f t="shared" si="0"/>
        <v/>
      </c>
      <c r="C38" s="184" t="str">
        <f t="shared" si="1"/>
        <v/>
      </c>
      <c r="D38" s="184">
        <v>10</v>
      </c>
      <c r="E38" s="185" t="str">
        <f t="shared" si="2"/>
        <v/>
      </c>
      <c r="F38" s="499"/>
    </row>
    <row r="39" spans="1:6" x14ac:dyDescent="0.3">
      <c r="A39" s="170"/>
      <c r="B39" s="184" t="str">
        <f t="shared" si="0"/>
        <v/>
      </c>
      <c r="C39" s="184" t="str">
        <f t="shared" si="1"/>
        <v/>
      </c>
      <c r="D39" s="184">
        <v>11</v>
      </c>
      <c r="E39" s="185" t="str">
        <f t="shared" si="2"/>
        <v/>
      </c>
      <c r="F39" s="499"/>
    </row>
    <row r="40" spans="1:6" x14ac:dyDescent="0.3">
      <c r="A40" s="170"/>
      <c r="B40" s="184" t="str">
        <f t="shared" si="0"/>
        <v/>
      </c>
      <c r="C40" s="184" t="str">
        <f t="shared" si="1"/>
        <v/>
      </c>
      <c r="D40" s="184">
        <v>12</v>
      </c>
      <c r="E40" s="185" t="str">
        <f t="shared" si="2"/>
        <v/>
      </c>
      <c r="F40" s="499"/>
    </row>
    <row r="41" spans="1:6" x14ac:dyDescent="0.3">
      <c r="A41" s="170"/>
      <c r="B41" s="184" t="str">
        <f t="shared" si="0"/>
        <v/>
      </c>
      <c r="C41" s="184" t="str">
        <f t="shared" si="1"/>
        <v/>
      </c>
      <c r="D41" s="184">
        <v>13</v>
      </c>
      <c r="E41" s="185" t="str">
        <f t="shared" si="2"/>
        <v/>
      </c>
      <c r="F41" s="499"/>
    </row>
    <row r="42" spans="1:6" x14ac:dyDescent="0.3">
      <c r="A42" s="170"/>
      <c r="B42" s="184" t="str">
        <f t="shared" si="0"/>
        <v/>
      </c>
      <c r="C42" s="184" t="str">
        <f t="shared" si="1"/>
        <v/>
      </c>
      <c r="D42" s="184">
        <v>14</v>
      </c>
      <c r="E42" s="185" t="str">
        <f t="shared" si="2"/>
        <v/>
      </c>
      <c r="F42" s="499"/>
    </row>
    <row r="43" spans="1:6" x14ac:dyDescent="0.3">
      <c r="A43" s="170"/>
      <c r="B43" s="184" t="str">
        <f t="shared" si="0"/>
        <v/>
      </c>
      <c r="C43" s="184" t="str">
        <f t="shared" si="1"/>
        <v/>
      </c>
      <c r="D43" s="184">
        <v>15</v>
      </c>
      <c r="E43" s="185" t="str">
        <f t="shared" si="2"/>
        <v/>
      </c>
      <c r="F43" s="499"/>
    </row>
    <row r="44" spans="1:6" x14ac:dyDescent="0.3">
      <c r="A44" s="170"/>
      <c r="B44" s="184" t="str">
        <f t="shared" si="0"/>
        <v/>
      </c>
      <c r="C44" s="184" t="str">
        <f t="shared" si="1"/>
        <v/>
      </c>
      <c r="D44" s="184">
        <v>16</v>
      </c>
      <c r="E44" s="185" t="str">
        <f t="shared" si="2"/>
        <v/>
      </c>
      <c r="F44" s="499"/>
    </row>
    <row r="45" spans="1:6" x14ac:dyDescent="0.3">
      <c r="A45" s="170"/>
      <c r="B45" s="184" t="str">
        <f t="shared" si="0"/>
        <v/>
      </c>
      <c r="C45" s="184" t="str">
        <f t="shared" si="1"/>
        <v/>
      </c>
      <c r="D45" s="184">
        <v>17</v>
      </c>
      <c r="E45" s="185" t="str">
        <f t="shared" si="2"/>
        <v/>
      </c>
      <c r="F45" s="499"/>
    </row>
    <row r="46" spans="1:6" x14ac:dyDescent="0.3">
      <c r="A46" s="170"/>
      <c r="B46" s="184" t="str">
        <f t="shared" si="0"/>
        <v/>
      </c>
      <c r="C46" s="184" t="str">
        <f t="shared" si="1"/>
        <v/>
      </c>
      <c r="D46" s="184">
        <v>18</v>
      </c>
      <c r="E46" s="185" t="str">
        <f t="shared" si="2"/>
        <v/>
      </c>
      <c r="F46" s="499"/>
    </row>
    <row r="47" spans="1:6" x14ac:dyDescent="0.3">
      <c r="A47" s="170"/>
      <c r="B47" s="184" t="str">
        <f t="shared" si="0"/>
        <v/>
      </c>
      <c r="C47" s="184" t="str">
        <f t="shared" si="1"/>
        <v/>
      </c>
      <c r="D47" s="184">
        <v>19</v>
      </c>
      <c r="E47" s="185" t="str">
        <f t="shared" si="2"/>
        <v/>
      </c>
      <c r="F47" s="499"/>
    </row>
    <row r="48" spans="1:6" x14ac:dyDescent="0.3">
      <c r="A48" s="170"/>
      <c r="B48" s="184" t="str">
        <f t="shared" si="0"/>
        <v/>
      </c>
      <c r="C48" s="184" t="str">
        <f t="shared" si="1"/>
        <v/>
      </c>
      <c r="D48" s="184">
        <v>20</v>
      </c>
      <c r="E48" s="185" t="str">
        <f t="shared" si="2"/>
        <v/>
      </c>
      <c r="F48" s="499"/>
    </row>
    <row r="49" spans="1:6" x14ac:dyDescent="0.3">
      <c r="A49" s="170"/>
      <c r="E49" s="66"/>
      <c r="F49" s="66"/>
    </row>
    <row r="50" spans="1:6" x14ac:dyDescent="0.3">
      <c r="A50" s="170"/>
      <c r="E50" s="66"/>
      <c r="F50" s="66"/>
    </row>
    <row r="51" spans="1:6" x14ac:dyDescent="0.3">
      <c r="A51" s="170"/>
      <c r="E51" s="66"/>
      <c r="F51" s="66"/>
    </row>
    <row r="52" spans="1:6" x14ac:dyDescent="0.3">
      <c r="A52" s="170"/>
      <c r="E52" s="66"/>
      <c r="F52" s="66"/>
    </row>
    <row r="53" spans="1:6" x14ac:dyDescent="0.3">
      <c r="A53" s="170"/>
      <c r="E53" s="66"/>
      <c r="F53" s="66"/>
    </row>
    <row r="54" spans="1:6" x14ac:dyDescent="0.3">
      <c r="A54" s="170"/>
      <c r="E54" s="66"/>
      <c r="F54" s="66"/>
    </row>
    <row r="55" spans="1:6" x14ac:dyDescent="0.3">
      <c r="A55" s="170"/>
      <c r="E55" s="66"/>
      <c r="F55" s="66"/>
    </row>
    <row r="56" spans="1:6" x14ac:dyDescent="0.3">
      <c r="B56" s="500"/>
    </row>
    <row r="57" spans="1:6" ht="0.9" customHeight="1" x14ac:dyDescent="0.3">
      <c r="A57" s="277"/>
    </row>
  </sheetData>
  <sheetProtection sheet="1" objects="1" scenarios="1" formatCells="0" formatColumns="0" formatRows="0" insertHyperlinks="0" selectLockedCells="1" sort="0" autoFilter="0"/>
  <conditionalFormatting sqref="B5:G24">
    <cfRule type="expression" dxfId="92" priority="2">
      <formula>MOD(ROW(XFC1048559),2)=0</formula>
    </cfRule>
    <cfRule type="expression" dxfId="91" priority="3">
      <formula>MOD(ROW(XFC1048560),2)=0</formula>
    </cfRule>
  </conditionalFormatting>
  <conditionalFormatting sqref="D5:D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G5:G21" xr:uid="{00000000-0002-0000-1200-000000000000}">
      <formula1>"1,2,3"</formula1>
    </dataValidation>
    <dataValidation type="list" allowBlank="1" showInputMessage="1" showErrorMessage="1" sqref="D5:D24" xr:uid="{00000000-0002-0000-1200-000001000000}">
      <formula1>"1,2,3,4,5,6,7,8,9,10"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orientation="portrait" horizontalDpi="1200" verticalDpi="1200" r:id="rId1"/>
  <headerFooter alignWithMargins="0">
    <oddFooter>&amp;L&amp;8&amp;K00-049(c)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" id="{2303418E-CD4B-44F3-9116-56A5385C4FC5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G5:G24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0" tint="-0.499984740745262"/>
  </sheetPr>
  <dimension ref="A1:X92"/>
  <sheetViews>
    <sheetView showGridLines="0" zoomScaleNormal="100" workbookViewId="0">
      <pane ySplit="6" topLeftCell="A7" activePane="bottomLeft" state="frozen"/>
      <selection activeCell="N13" sqref="N13"/>
      <selection pane="bottomLeft" activeCell="C7" sqref="C7:C14"/>
    </sheetView>
  </sheetViews>
  <sheetFormatPr baseColWidth="10" defaultColWidth="11.44140625" defaultRowHeight="18.75" customHeight="1" x14ac:dyDescent="0.3"/>
  <cols>
    <col min="1" max="1" width="6" style="352" customWidth="1"/>
    <col min="2" max="2" width="4.109375" style="403" bestFit="1" customWidth="1"/>
    <col min="3" max="3" width="27.6640625" style="357" customWidth="1"/>
    <col min="4" max="4" width="3.33203125" style="404" customWidth="1"/>
    <col min="5" max="5" width="28.33203125" style="357" customWidth="1"/>
    <col min="6" max="6" width="2" style="357" customWidth="1"/>
    <col min="7" max="7" width="9.44140625" style="408" customWidth="1"/>
    <col min="8" max="8" width="8.6640625" style="408" customWidth="1"/>
    <col min="9" max="9" width="7.109375" style="408" bestFit="1" customWidth="1"/>
    <col min="10" max="11" width="7.5546875" style="408" hidden="1" customWidth="1"/>
    <col min="12" max="12" width="4.5546875" style="409" customWidth="1"/>
    <col min="13" max="13" width="3.33203125" style="403" customWidth="1"/>
    <col min="14" max="14" width="37.88671875" style="357" customWidth="1"/>
    <col min="15" max="15" width="3.33203125" style="404" customWidth="1"/>
    <col min="16" max="16" width="33" style="357" customWidth="1"/>
    <col min="17" max="17" width="2" style="357" customWidth="1"/>
    <col min="18" max="19" width="8.6640625" style="408" customWidth="1"/>
    <col min="20" max="20" width="7.33203125" style="408" customWidth="1"/>
    <col min="21" max="22" width="7.5546875" style="408" hidden="1" customWidth="1"/>
    <col min="23" max="23" width="4.5546875" style="409" customWidth="1"/>
    <col min="24" max="24" width="3.88671875" style="359" customWidth="1"/>
    <col min="25" max="44" width="3.88671875" style="154" customWidth="1"/>
    <col min="45" max="16384" width="11.44140625" style="154"/>
  </cols>
  <sheetData>
    <row r="1" spans="1:24" s="80" customFormat="1" ht="45" customHeight="1" x14ac:dyDescent="0.3">
      <c r="A1" s="132"/>
      <c r="B1" s="132"/>
      <c r="C1" s="81" t="str">
        <f ca="1">' '!A342</f>
        <v>Z I E L E  &amp;  S T R A T E G I E N    C H A N G E   M A N A G E M E N T</v>
      </c>
      <c r="D1" s="344"/>
      <c r="E1" s="81"/>
      <c r="F1" s="81"/>
      <c r="G1" s="81"/>
      <c r="H1" s="81"/>
      <c r="I1" s="81"/>
      <c r="J1" s="81"/>
      <c r="K1" s="81"/>
      <c r="L1" s="81"/>
      <c r="M1" s="81"/>
      <c r="N1" s="81"/>
      <c r="O1" s="440"/>
      <c r="P1" s="81"/>
      <c r="Q1" s="81"/>
      <c r="R1" s="441"/>
      <c r="S1" s="441"/>
      <c r="T1" s="81"/>
      <c r="U1" s="441"/>
      <c r="V1" s="441"/>
      <c r="W1" s="82"/>
      <c r="X1" s="179"/>
    </row>
    <row r="2" spans="1:24" s="80" customFormat="1" ht="0.9" customHeight="1" x14ac:dyDescent="0.3">
      <c r="A2" s="346"/>
      <c r="B2" s="215"/>
      <c r="C2" s="83"/>
      <c r="D2" s="347"/>
      <c r="E2" s="83"/>
      <c r="F2" s="83"/>
      <c r="G2" s="83"/>
      <c r="H2" s="83"/>
      <c r="I2" s="83"/>
      <c r="J2" s="83"/>
      <c r="K2" s="83"/>
      <c r="L2" s="83"/>
      <c r="M2" s="83"/>
      <c r="N2" s="83"/>
      <c r="O2" s="347"/>
      <c r="P2" s="83"/>
      <c r="Q2" s="83"/>
      <c r="R2" s="442"/>
      <c r="S2" s="442"/>
      <c r="T2" s="83"/>
      <c r="U2" s="442"/>
      <c r="V2" s="442"/>
      <c r="W2" s="83"/>
      <c r="X2" s="179"/>
    </row>
    <row r="3" spans="1:24" s="97" customFormat="1" ht="20.25" customHeight="1" x14ac:dyDescent="0.3">
      <c r="A3" s="348"/>
      <c r="B3" s="349"/>
      <c r="C3" s="87"/>
      <c r="D3" s="350"/>
      <c r="E3" s="349"/>
      <c r="F3" s="349"/>
      <c r="G3" s="349"/>
      <c r="H3" s="443"/>
      <c r="I3" s="349"/>
      <c r="K3" s="443"/>
      <c r="O3" s="444"/>
      <c r="R3" s="445"/>
      <c r="S3" s="445"/>
      <c r="U3" s="445"/>
      <c r="V3" s="445"/>
      <c r="X3" s="351"/>
    </row>
    <row r="4" spans="1:24" ht="6" customHeight="1" x14ac:dyDescent="0.3">
      <c r="B4" s="353"/>
      <c r="C4" s="353"/>
      <c r="D4" s="354"/>
      <c r="E4" s="353"/>
      <c r="F4" s="353"/>
      <c r="G4" s="353"/>
      <c r="H4" s="353"/>
      <c r="I4" s="353"/>
      <c r="J4" s="353"/>
      <c r="K4" s="353"/>
      <c r="L4" s="355"/>
      <c r="M4" s="356"/>
      <c r="O4" s="446"/>
    </row>
    <row r="5" spans="1:24" s="372" customFormat="1" ht="18.75" customHeight="1" x14ac:dyDescent="0.3">
      <c r="A5" s="360"/>
      <c r="B5" s="361" t="str">
        <f ca="1">' '!A347</f>
        <v>Nr.</v>
      </c>
      <c r="C5" s="362" t="str">
        <f ca="1">' '!A355</f>
        <v>Ziele</v>
      </c>
      <c r="D5" s="363" t="str">
        <f ca="1">B5</f>
        <v>Nr.</v>
      </c>
      <c r="E5" s="364" t="str">
        <f ca="1">' '!A356</f>
        <v>Indikatoren</v>
      </c>
      <c r="F5" s="447"/>
      <c r="G5" s="448" t="str">
        <f ca="1">' '!A350</f>
        <v>IST</v>
      </c>
      <c r="H5" s="449" t="str">
        <f ca="1">' '!A351</f>
        <v>SOLL</v>
      </c>
      <c r="I5" s="365" t="str">
        <f ca="1">' '!A352</f>
        <v>erreicht</v>
      </c>
      <c r="J5" s="366" t="str">
        <f ca="1">' '!A353</f>
        <v>rot</v>
      </c>
      <c r="K5" s="366" t="str">
        <f ca="1">' '!A354</f>
        <v>gelb</v>
      </c>
      <c r="L5" s="450"/>
      <c r="M5" s="363" t="str">
        <f ca="1">B5</f>
        <v>Nr.</v>
      </c>
      <c r="N5" s="451" t="str">
        <f ca="1">' '!A348</f>
        <v>Strategien</v>
      </c>
      <c r="O5" s="363" t="str">
        <f ca="1">B5</f>
        <v>Nr.</v>
      </c>
      <c r="P5" s="452" t="str">
        <f ca="1">' '!A349</f>
        <v>Strategische Indikatoren</v>
      </c>
      <c r="Q5" s="453"/>
      <c r="R5" s="454" t="str">
        <f ca="1">G5</f>
        <v>IST</v>
      </c>
      <c r="S5" s="454" t="str">
        <f ca="1">H5</f>
        <v>SOLL</v>
      </c>
      <c r="T5" s="455" t="str">
        <f ca="1">I5</f>
        <v>erreicht</v>
      </c>
      <c r="U5" s="456" t="str">
        <f ca="1">J5</f>
        <v>rot</v>
      </c>
      <c r="V5" s="456" t="str">
        <f ca="1">K5</f>
        <v>gelb</v>
      </c>
      <c r="W5" s="457"/>
      <c r="X5" s="371"/>
    </row>
    <row r="6" spans="1:24" s="382" customFormat="1" ht="9" customHeight="1" x14ac:dyDescent="0.25">
      <c r="A6" s="373"/>
      <c r="B6" s="374"/>
      <c r="C6" s="375"/>
      <c r="D6" s="376"/>
      <c r="E6" s="375"/>
      <c r="F6" s="375"/>
      <c r="G6" s="377"/>
      <c r="H6" s="377"/>
      <c r="I6" s="377"/>
      <c r="J6" s="377"/>
      <c r="K6" s="377"/>
      <c r="L6" s="380"/>
      <c r="M6" s="374"/>
      <c r="N6" s="378"/>
      <c r="O6" s="374"/>
      <c r="P6" s="375"/>
      <c r="Q6" s="375"/>
      <c r="R6" s="377"/>
      <c r="S6" s="377"/>
      <c r="T6" s="377"/>
      <c r="U6" s="377"/>
      <c r="V6" s="377"/>
      <c r="W6" s="377"/>
      <c r="X6" s="381"/>
    </row>
    <row r="7" spans="1:24" ht="15.6" x14ac:dyDescent="0.3">
      <c r="B7" s="458">
        <v>1</v>
      </c>
      <c r="C7" s="1065" t="s">
        <v>605</v>
      </c>
      <c r="D7" s="1052" t="s">
        <v>1899</v>
      </c>
      <c r="E7" s="1053" t="s">
        <v>606</v>
      </c>
      <c r="F7" s="459" t="str">
        <f>IF(E7&lt;&gt;"","?","")</f>
        <v>?</v>
      </c>
      <c r="G7" s="1055">
        <v>50</v>
      </c>
      <c r="H7" s="1046">
        <v>100</v>
      </c>
      <c r="I7" s="1047">
        <f>IF(OR(G7="Ja",G7="JA",G7="ja",G7="Oui",G7="OUI",G7="oui"),100%,
IF(OR(G7="Nein",G7="NEIN",G7="nein",G7="Oon",G7="NON",G7="non"),0%,
IF(G7&lt;&gt;0,
IF(H7&gt;=G7,G7/H7,
IF(H7&lt;G7,H7/G7)),
0%)))</f>
        <v>0.5</v>
      </c>
      <c r="J7" s="1048">
        <v>0.7</v>
      </c>
      <c r="K7" s="1050">
        <v>0.9</v>
      </c>
      <c r="L7" s="1057">
        <f t="shared" ref="L7:L13" si="0">IF(E7="","",IF(I7&lt;=J7,3,IF(I7&lt;=K7,2,1)))</f>
        <v>3</v>
      </c>
      <c r="M7" s="383" t="s">
        <v>322</v>
      </c>
      <c r="N7" s="460" t="s">
        <v>607</v>
      </c>
      <c r="O7" s="383" t="s">
        <v>371</v>
      </c>
      <c r="P7" s="460" t="s">
        <v>606</v>
      </c>
      <c r="Q7" s="460" t="str">
        <f t="shared" ref="Q7:Q14" si="1">IF(P7&lt;&gt;"","?","")</f>
        <v>?</v>
      </c>
      <c r="R7" s="461">
        <v>100</v>
      </c>
      <c r="S7" s="461">
        <v>200</v>
      </c>
      <c r="T7" s="462">
        <f>IF(OR(R7="Ja",R7="JA",R7="ja",R7="Oui",R7="OUI",R7="oui"),100%,
IF(OR(R7="Nein",R7="NEIN",R7="nein",R7="Oon",R7="NON",R7="non"),0%,
IF(R7&lt;&gt;0,
IF(S7&gt;=R7,R7/S7,
IF(S7&lt;R7,S7/R7)),
0%)))</f>
        <v>0.5</v>
      </c>
      <c r="U7" s="463">
        <v>0.7</v>
      </c>
      <c r="V7" s="464">
        <v>0.9</v>
      </c>
      <c r="W7" s="465">
        <f t="shared" ref="W7:W8" si="2">IF(P7="","",IF(T7&lt;=U7,3,IF(T7&lt;=V7,2,1)))</f>
        <v>3</v>
      </c>
      <c r="X7" s="179"/>
    </row>
    <row r="8" spans="1:24" ht="15.6" x14ac:dyDescent="0.3">
      <c r="B8" s="466">
        <v>1</v>
      </c>
      <c r="C8" s="1065"/>
      <c r="D8" s="1052"/>
      <c r="E8" s="1054"/>
      <c r="F8" s="467"/>
      <c r="G8" s="1056"/>
      <c r="H8" s="1046"/>
      <c r="I8" s="1047"/>
      <c r="J8" s="1049"/>
      <c r="K8" s="1051"/>
      <c r="L8" s="1057"/>
      <c r="M8" s="383" t="s">
        <v>323</v>
      </c>
      <c r="N8" s="460"/>
      <c r="O8" s="383" t="s">
        <v>373</v>
      </c>
      <c r="P8" s="460"/>
      <c r="Q8" s="460" t="str">
        <f t="shared" si="1"/>
        <v/>
      </c>
      <c r="R8" s="468"/>
      <c r="S8" s="468"/>
      <c r="T8" s="462">
        <f t="shared" ref="T8:T14" si="3">IF(OR(R8="Ja",R8="JA",R8="ja",R8="Oui",R8="OUI",R8="oui"),100%,
IF(OR(R8="Nein",R8="NEIN",R8="nein",R8="Oon",R8="NON",R8="non"),0%,
IF(R8&lt;&gt;0,
IF(S8&gt;=R8,R8/S8,
IF(S8&lt;R8,S8/R8)),
0%)))</f>
        <v>0</v>
      </c>
      <c r="U8" s="463">
        <v>0.7</v>
      </c>
      <c r="V8" s="464">
        <v>0.9</v>
      </c>
      <c r="W8" s="465" t="str">
        <f t="shared" si="2"/>
        <v/>
      </c>
      <c r="X8" s="179"/>
    </row>
    <row r="9" spans="1:24" ht="15.6" x14ac:dyDescent="0.3">
      <c r="B9" s="466">
        <v>1</v>
      </c>
      <c r="C9" s="1065"/>
      <c r="D9" s="1052" t="s">
        <v>1900</v>
      </c>
      <c r="E9" s="1060"/>
      <c r="F9" s="459" t="str">
        <f>IF(E9&lt;&gt;"","?","")</f>
        <v/>
      </c>
      <c r="G9" s="1046"/>
      <c r="H9" s="1046"/>
      <c r="I9" s="1047">
        <f>IF(OR(G9="Ja",G9="JA",G9="ja",G9="Oui",G9="OUI",G9="oui"),100%,
IF(OR(G9="Nein",G9="NEIN",G9="nein",G9="Oon",G9="NON",G9="non"),0%,
IF(G9&lt;&gt;0,
IF(H9&gt;=G9,G9/H9,
IF(H9&lt;G9,H9/G9)),
0%)))</f>
        <v>0</v>
      </c>
      <c r="J9" s="1048">
        <v>0.7</v>
      </c>
      <c r="K9" s="1050">
        <v>0.9</v>
      </c>
      <c r="L9" s="1057" t="str">
        <f t="shared" si="0"/>
        <v/>
      </c>
      <c r="M9" s="383" t="s">
        <v>324</v>
      </c>
      <c r="N9" s="460"/>
      <c r="O9" s="383" t="s">
        <v>375</v>
      </c>
      <c r="P9" s="460"/>
      <c r="Q9" s="460" t="str">
        <f t="shared" si="1"/>
        <v/>
      </c>
      <c r="R9" s="468"/>
      <c r="S9" s="468"/>
      <c r="T9" s="462">
        <f t="shared" si="3"/>
        <v>0</v>
      </c>
      <c r="U9" s="463">
        <v>0.7</v>
      </c>
      <c r="V9" s="464">
        <v>0.9</v>
      </c>
      <c r="W9" s="465" t="str">
        <f>IF(P9="","",IF(T9&lt;=U9,3,IF(T9&lt;=V9,2,1)))</f>
        <v/>
      </c>
      <c r="X9" s="179"/>
    </row>
    <row r="10" spans="1:24" ht="15.6" x14ac:dyDescent="0.3">
      <c r="B10" s="466">
        <v>1</v>
      </c>
      <c r="C10" s="1065"/>
      <c r="D10" s="1052"/>
      <c r="E10" s="1060"/>
      <c r="F10" s="467"/>
      <c r="G10" s="1046"/>
      <c r="H10" s="1046"/>
      <c r="I10" s="1047"/>
      <c r="J10" s="1049"/>
      <c r="K10" s="1051"/>
      <c r="L10" s="1057"/>
      <c r="M10" s="383" t="s">
        <v>325</v>
      </c>
      <c r="N10" s="460"/>
      <c r="O10" s="383" t="s">
        <v>377</v>
      </c>
      <c r="P10" s="460"/>
      <c r="Q10" s="460" t="str">
        <f t="shared" si="1"/>
        <v/>
      </c>
      <c r="R10" s="468"/>
      <c r="S10" s="468"/>
      <c r="T10" s="462">
        <f t="shared" si="3"/>
        <v>0</v>
      </c>
      <c r="U10" s="463">
        <v>0.7</v>
      </c>
      <c r="V10" s="464">
        <v>0.9</v>
      </c>
      <c r="W10" s="465" t="str">
        <f t="shared" ref="W10:W14" si="4">IF(P10="","",IF(T10&lt;=U10,3,IF(T10&lt;=V10,2,1)))</f>
        <v/>
      </c>
      <c r="X10" s="179"/>
    </row>
    <row r="11" spans="1:24" ht="15.6" x14ac:dyDescent="0.3">
      <c r="B11" s="466">
        <v>1</v>
      </c>
      <c r="C11" s="1065"/>
      <c r="D11" s="1052" t="s">
        <v>1901</v>
      </c>
      <c r="E11" s="1068"/>
      <c r="F11" s="459" t="str">
        <f>IF(E11&lt;&gt;"","?","")</f>
        <v/>
      </c>
      <c r="G11" s="1046"/>
      <c r="H11" s="1046"/>
      <c r="I11" s="1047">
        <f t="shared" ref="I11" si="5">IF(OR(G11="Ja",G11="JA",G11="ja",G11="Oui",G11="OUI",G11="oui"),100%,
IF(OR(G11="Nein",G11="NEIN",G11="nein",G11="Oon",G11="NON",G11="non"),0%,
IF(G11&lt;&gt;0,
IF(H11&gt;=G11,G11/H11,
IF(H11&lt;G11,H11/G11)),
0%)))</f>
        <v>0</v>
      </c>
      <c r="J11" s="1048">
        <v>0.7</v>
      </c>
      <c r="K11" s="1050">
        <v>0.9</v>
      </c>
      <c r="L11" s="1057" t="str">
        <f t="shared" si="0"/>
        <v/>
      </c>
      <c r="M11" s="383" t="s">
        <v>326</v>
      </c>
      <c r="N11" s="460"/>
      <c r="O11" s="383" t="s">
        <v>379</v>
      </c>
      <c r="P11" s="460"/>
      <c r="Q11" s="460" t="str">
        <f t="shared" si="1"/>
        <v/>
      </c>
      <c r="R11" s="468"/>
      <c r="S11" s="468"/>
      <c r="T11" s="462">
        <f t="shared" si="3"/>
        <v>0</v>
      </c>
      <c r="U11" s="463">
        <v>0.7</v>
      </c>
      <c r="V11" s="464">
        <v>0.9</v>
      </c>
      <c r="W11" s="465" t="str">
        <f t="shared" si="4"/>
        <v/>
      </c>
      <c r="X11" s="179"/>
    </row>
    <row r="12" spans="1:24" ht="15.6" x14ac:dyDescent="0.3">
      <c r="B12" s="466">
        <v>1</v>
      </c>
      <c r="C12" s="1065"/>
      <c r="D12" s="1052"/>
      <c r="E12" s="1060"/>
      <c r="F12" s="467"/>
      <c r="G12" s="1046"/>
      <c r="H12" s="1046"/>
      <c r="I12" s="1047"/>
      <c r="J12" s="1049"/>
      <c r="K12" s="1051"/>
      <c r="L12" s="1057"/>
      <c r="M12" s="383" t="s">
        <v>327</v>
      </c>
      <c r="N12" s="460"/>
      <c r="O12" s="383" t="s">
        <v>381</v>
      </c>
      <c r="P12" s="460"/>
      <c r="Q12" s="460" t="str">
        <f t="shared" si="1"/>
        <v/>
      </c>
      <c r="R12" s="468"/>
      <c r="S12" s="468"/>
      <c r="T12" s="462">
        <f t="shared" si="3"/>
        <v>0</v>
      </c>
      <c r="U12" s="463">
        <v>0.7</v>
      </c>
      <c r="V12" s="464">
        <v>0.9</v>
      </c>
      <c r="W12" s="465" t="str">
        <f t="shared" si="4"/>
        <v/>
      </c>
      <c r="X12" s="179"/>
    </row>
    <row r="13" spans="1:24" ht="15.6" x14ac:dyDescent="0.3">
      <c r="B13" s="466">
        <v>1</v>
      </c>
      <c r="C13" s="1065"/>
      <c r="D13" s="1052" t="s">
        <v>1902</v>
      </c>
      <c r="E13" s="1060"/>
      <c r="F13" s="459" t="str">
        <f>IF(E13&lt;&gt;"","?","")</f>
        <v/>
      </c>
      <c r="G13" s="1046"/>
      <c r="H13" s="1046"/>
      <c r="I13" s="1047">
        <f t="shared" ref="I13" si="6">IF(OR(G13="Ja",G13="JA",G13="ja",G13="Oui",G13="OUI",G13="oui"),100%,
IF(OR(G13="Nein",G13="NEIN",G13="nein",G13="Oon",G13="NON",G13="non"),0%,
IF(G13&lt;&gt;0,
IF(H13&gt;=G13,G13/H13,
IF(H13&lt;G13,H13/G13)),
0%)))</f>
        <v>0</v>
      </c>
      <c r="J13" s="1048">
        <v>0.7</v>
      </c>
      <c r="K13" s="1050">
        <v>0.9</v>
      </c>
      <c r="L13" s="1057" t="str">
        <f t="shared" si="0"/>
        <v/>
      </c>
      <c r="M13" s="383" t="s">
        <v>328</v>
      </c>
      <c r="N13" s="460"/>
      <c r="O13" s="383" t="s">
        <v>383</v>
      </c>
      <c r="P13" s="460"/>
      <c r="Q13" s="460" t="str">
        <f t="shared" si="1"/>
        <v/>
      </c>
      <c r="R13" s="468"/>
      <c r="S13" s="468"/>
      <c r="T13" s="462">
        <f t="shared" si="3"/>
        <v>0</v>
      </c>
      <c r="U13" s="463">
        <v>0.7</v>
      </c>
      <c r="V13" s="464">
        <v>0.9</v>
      </c>
      <c r="W13" s="465" t="str">
        <f t="shared" si="4"/>
        <v/>
      </c>
      <c r="X13" s="179"/>
    </row>
    <row r="14" spans="1:24" ht="15.6" x14ac:dyDescent="0.3">
      <c r="B14" s="466">
        <v>1</v>
      </c>
      <c r="C14" s="1065"/>
      <c r="D14" s="1052"/>
      <c r="E14" s="1060"/>
      <c r="F14" s="469"/>
      <c r="G14" s="1046"/>
      <c r="H14" s="1046"/>
      <c r="I14" s="1058"/>
      <c r="J14" s="1049"/>
      <c r="K14" s="1051"/>
      <c r="L14" s="1057"/>
      <c r="M14" s="383" t="s">
        <v>329</v>
      </c>
      <c r="N14" s="460"/>
      <c r="O14" s="383" t="s">
        <v>385</v>
      </c>
      <c r="P14" s="460"/>
      <c r="Q14" s="460" t="str">
        <f t="shared" si="1"/>
        <v/>
      </c>
      <c r="R14" s="468"/>
      <c r="S14" s="468"/>
      <c r="T14" s="462">
        <f t="shared" si="3"/>
        <v>0</v>
      </c>
      <c r="U14" s="463">
        <v>0.7</v>
      </c>
      <c r="V14" s="464">
        <v>0.9</v>
      </c>
      <c r="W14" s="465" t="str">
        <f t="shared" si="4"/>
        <v/>
      </c>
      <c r="X14" s="179"/>
    </row>
    <row r="15" spans="1:24" ht="15.6" x14ac:dyDescent="0.3">
      <c r="B15" s="458">
        <v>2</v>
      </c>
      <c r="C15" s="1059" t="s">
        <v>608</v>
      </c>
      <c r="D15" s="1052" t="s">
        <v>1903</v>
      </c>
      <c r="E15" s="1060"/>
      <c r="F15" s="470" t="str">
        <f>IF(E15&lt;&gt;"","?","")</f>
        <v/>
      </c>
      <c r="G15" s="1061"/>
      <c r="H15" s="1063"/>
      <c r="I15" s="1064">
        <f>IF(OR(G15="Ja",G15="JA",G15="ja",G15="Oui",G15="OUI",G15="oui"),100%,
IF(OR(G15="Nein",G15="NEIN",G15="nein",G15="Oon",G15="NON",G15="non"),0%,
IF(G15&lt;&gt;0,
IF(H15&gt;=G15,G15/H15,
IF(H15&lt;G15,H15/G15)),
0%)))</f>
        <v>0</v>
      </c>
      <c r="J15" s="1069">
        <v>0.7</v>
      </c>
      <c r="K15" s="1071">
        <v>0.9</v>
      </c>
      <c r="L15" s="1073" t="str">
        <f t="shared" ref="L15:L21" si="7">IF(E15="","",IF(I15&lt;=J15,3,IF(I15&lt;=K15,2,1)))</f>
        <v/>
      </c>
      <c r="M15" s="383" t="s">
        <v>330</v>
      </c>
      <c r="N15" s="471"/>
      <c r="O15" s="383" t="s">
        <v>387</v>
      </c>
      <c r="P15" s="471"/>
      <c r="Q15" s="471" t="str">
        <f t="shared" ref="Q15:Q22" si="8">IF(P15&lt;&gt;"","?","")</f>
        <v/>
      </c>
      <c r="R15" s="472"/>
      <c r="S15" s="472"/>
      <c r="T15" s="473">
        <f>IF(OR(R15="Ja",R15="JA",R15="ja",R15="Oui",R15="OUI",R15="oui"),100%,
IF(OR(R15="Nein",R15="NEIN",R15="nein",R15="Oon",R15="NON",R15="non"),0%,
IF(R15&lt;&gt;0,
IF(S15&gt;=R15,R15/S15,
IF(S15&lt;R15,S15/R15)),
0%)))</f>
        <v>0</v>
      </c>
      <c r="U15" s="474">
        <v>0.7</v>
      </c>
      <c r="V15" s="475">
        <v>0.9</v>
      </c>
      <c r="W15" s="476" t="str">
        <f t="shared" ref="W15:W16" si="9">IF(P15="","",IF(T15&lt;=U15,3,IF(T15&lt;=V15,2,1)))</f>
        <v/>
      </c>
      <c r="X15" s="179"/>
    </row>
    <row r="16" spans="1:24" ht="15.6" x14ac:dyDescent="0.3">
      <c r="B16" s="466">
        <v>2</v>
      </c>
      <c r="C16" s="1059"/>
      <c r="D16" s="1052"/>
      <c r="E16" s="1060"/>
      <c r="F16" s="477"/>
      <c r="G16" s="1062"/>
      <c r="H16" s="1063"/>
      <c r="I16" s="1064"/>
      <c r="J16" s="1070"/>
      <c r="K16" s="1072"/>
      <c r="L16" s="1073"/>
      <c r="M16" s="383" t="s">
        <v>331</v>
      </c>
      <c r="N16" s="471"/>
      <c r="O16" s="383" t="s">
        <v>389</v>
      </c>
      <c r="P16" s="471"/>
      <c r="Q16" s="471" t="str">
        <f t="shared" si="8"/>
        <v/>
      </c>
      <c r="R16" s="472"/>
      <c r="S16" s="472"/>
      <c r="T16" s="473">
        <f t="shared" ref="T16:T22" si="10">IF(OR(R16="Ja",R16="JA",R16="ja",R16="Oui",R16="OUI",R16="oui"),100%,
IF(OR(R16="Nein",R16="NEIN",R16="nein",R16="Oon",R16="NON",R16="non"),0%,
IF(R16&lt;&gt;0,
IF(S16&gt;=R16,R16/S16,
IF(S16&lt;R16,S16/R16)),
0%)))</f>
        <v>0</v>
      </c>
      <c r="U16" s="474">
        <v>0.7</v>
      </c>
      <c r="V16" s="475">
        <v>0.9</v>
      </c>
      <c r="W16" s="476" t="str">
        <f t="shared" si="9"/>
        <v/>
      </c>
      <c r="X16" s="179"/>
    </row>
    <row r="17" spans="2:24" ht="15.6" x14ac:dyDescent="0.3">
      <c r="B17" s="466">
        <v>2</v>
      </c>
      <c r="C17" s="1059"/>
      <c r="D17" s="1052" t="s">
        <v>1904</v>
      </c>
      <c r="E17" s="1067"/>
      <c r="F17" s="470" t="str">
        <f>IF(E17&lt;&gt;"","?","")</f>
        <v/>
      </c>
      <c r="G17" s="1063"/>
      <c r="H17" s="1063"/>
      <c r="I17" s="1064">
        <f>IF(OR(G17="Ja",G17="JA",G17="ja",G17="Oui",G17="OUI",G17="oui"),100%,
IF(OR(G17="Nein",G17="NEIN",G17="nein",G17="Oon",G17="NON",G17="non"),0%,
IF(G17&lt;&gt;0,
IF(H17&gt;=G17,G17/H17,
IF(H17&lt;G17,H17/G17)),
0%)))</f>
        <v>0</v>
      </c>
      <c r="J17" s="1069">
        <v>0.7</v>
      </c>
      <c r="K17" s="1071">
        <v>0.9</v>
      </c>
      <c r="L17" s="1073" t="str">
        <f t="shared" si="7"/>
        <v/>
      </c>
      <c r="M17" s="383" t="s">
        <v>332</v>
      </c>
      <c r="N17" s="471"/>
      <c r="O17" s="383" t="s">
        <v>391</v>
      </c>
      <c r="P17" s="471"/>
      <c r="Q17" s="471" t="str">
        <f t="shared" si="8"/>
        <v/>
      </c>
      <c r="R17" s="472"/>
      <c r="S17" s="472"/>
      <c r="T17" s="473">
        <f t="shared" si="10"/>
        <v>0</v>
      </c>
      <c r="U17" s="474">
        <v>0.7</v>
      </c>
      <c r="V17" s="475">
        <v>0.9</v>
      </c>
      <c r="W17" s="476" t="str">
        <f>IF(P17="","",IF(T17&lt;=U17,3,IF(T17&lt;=V17,2,1)))</f>
        <v/>
      </c>
      <c r="X17" s="179"/>
    </row>
    <row r="18" spans="2:24" ht="15.6" x14ac:dyDescent="0.3">
      <c r="B18" s="466">
        <v>2</v>
      </c>
      <c r="C18" s="1059"/>
      <c r="D18" s="1052"/>
      <c r="E18" s="1067"/>
      <c r="F18" s="477"/>
      <c r="G18" s="1063"/>
      <c r="H18" s="1063"/>
      <c r="I18" s="1064"/>
      <c r="J18" s="1070"/>
      <c r="K18" s="1072"/>
      <c r="L18" s="1073"/>
      <c r="M18" s="383" t="s">
        <v>333</v>
      </c>
      <c r="N18" s="471"/>
      <c r="O18" s="383" t="s">
        <v>393</v>
      </c>
      <c r="P18" s="471"/>
      <c r="Q18" s="471" t="str">
        <f t="shared" si="8"/>
        <v/>
      </c>
      <c r="R18" s="472"/>
      <c r="S18" s="472"/>
      <c r="T18" s="473">
        <f t="shared" si="10"/>
        <v>0</v>
      </c>
      <c r="U18" s="474">
        <v>0.7</v>
      </c>
      <c r="V18" s="475">
        <v>0.9</v>
      </c>
      <c r="W18" s="476" t="str">
        <f t="shared" ref="W18:W22" si="11">IF(P18="","",IF(T18&lt;=U18,3,IF(T18&lt;=V18,2,1)))</f>
        <v/>
      </c>
      <c r="X18" s="179"/>
    </row>
    <row r="19" spans="2:24" ht="15.6" x14ac:dyDescent="0.3">
      <c r="B19" s="466">
        <v>2</v>
      </c>
      <c r="C19" s="1059"/>
      <c r="D19" s="1052" t="s">
        <v>1905</v>
      </c>
      <c r="E19" s="1066"/>
      <c r="F19" s="470" t="str">
        <f>IF(E19&lt;&gt;"","?","")</f>
        <v/>
      </c>
      <c r="G19" s="1063"/>
      <c r="H19" s="1063"/>
      <c r="I19" s="1064">
        <f t="shared" ref="I19" si="12">IF(OR(G19="Ja",G19="JA",G19="ja",G19="Oui",G19="OUI",G19="oui"),100%,
IF(OR(G19="Nein",G19="NEIN",G19="nein",G19="Oon",G19="NON",G19="non"),0%,
IF(G19&lt;&gt;0,
IF(H19&gt;=G19,G19/H19,
IF(H19&lt;G19,H19/G19)),
0%)))</f>
        <v>0</v>
      </c>
      <c r="J19" s="1069">
        <v>0.7</v>
      </c>
      <c r="K19" s="1071">
        <v>0.9</v>
      </c>
      <c r="L19" s="1073" t="str">
        <f t="shared" si="7"/>
        <v/>
      </c>
      <c r="M19" s="383" t="s">
        <v>334</v>
      </c>
      <c r="N19" s="471"/>
      <c r="O19" s="383" t="s">
        <v>395</v>
      </c>
      <c r="P19" s="471"/>
      <c r="Q19" s="471" t="str">
        <f t="shared" si="8"/>
        <v/>
      </c>
      <c r="R19" s="472"/>
      <c r="S19" s="472"/>
      <c r="T19" s="473">
        <f t="shared" si="10"/>
        <v>0</v>
      </c>
      <c r="U19" s="474">
        <v>0.7</v>
      </c>
      <c r="V19" s="475">
        <v>0.9</v>
      </c>
      <c r="W19" s="476" t="str">
        <f t="shared" si="11"/>
        <v/>
      </c>
      <c r="X19" s="179"/>
    </row>
    <row r="20" spans="2:24" ht="15.6" x14ac:dyDescent="0.3">
      <c r="B20" s="466">
        <v>2</v>
      </c>
      <c r="C20" s="1059"/>
      <c r="D20" s="1052"/>
      <c r="E20" s="1067"/>
      <c r="F20" s="477"/>
      <c r="G20" s="1063"/>
      <c r="H20" s="1063"/>
      <c r="I20" s="1064"/>
      <c r="J20" s="1070"/>
      <c r="K20" s="1072"/>
      <c r="L20" s="1073"/>
      <c r="M20" s="383" t="s">
        <v>335</v>
      </c>
      <c r="N20" s="471"/>
      <c r="O20" s="383" t="s">
        <v>397</v>
      </c>
      <c r="P20" s="471"/>
      <c r="Q20" s="471" t="str">
        <f t="shared" si="8"/>
        <v/>
      </c>
      <c r="R20" s="472"/>
      <c r="S20" s="472"/>
      <c r="T20" s="473">
        <f t="shared" si="10"/>
        <v>0</v>
      </c>
      <c r="U20" s="474">
        <v>0.7</v>
      </c>
      <c r="V20" s="475">
        <v>0.9</v>
      </c>
      <c r="W20" s="476" t="str">
        <f t="shared" si="11"/>
        <v/>
      </c>
      <c r="X20" s="179"/>
    </row>
    <row r="21" spans="2:24" ht="15.6" x14ac:dyDescent="0.3">
      <c r="B21" s="466">
        <v>2</v>
      </c>
      <c r="C21" s="1059"/>
      <c r="D21" s="1052" t="s">
        <v>1906</v>
      </c>
      <c r="E21" s="1067"/>
      <c r="F21" s="470" t="str">
        <f>IF(E21&lt;&gt;"","?","")</f>
        <v/>
      </c>
      <c r="G21" s="1063"/>
      <c r="H21" s="1063"/>
      <c r="I21" s="1064">
        <f t="shared" ref="I21" si="13">IF(OR(G21="Ja",G21="JA",G21="ja",G21="Oui",G21="OUI",G21="oui"),100%,
IF(OR(G21="Nein",G21="NEIN",G21="nein",G21="Oon",G21="NON",G21="non"),0%,
IF(G21&lt;&gt;0,
IF(H21&gt;=G21,G21/H21,
IF(H21&lt;G21,H21/G21)),
0%)))</f>
        <v>0</v>
      </c>
      <c r="J21" s="1069">
        <v>0.7</v>
      </c>
      <c r="K21" s="1071">
        <v>0.9</v>
      </c>
      <c r="L21" s="1073" t="str">
        <f t="shared" si="7"/>
        <v/>
      </c>
      <c r="M21" s="383" t="s">
        <v>336</v>
      </c>
      <c r="N21" s="471"/>
      <c r="O21" s="383" t="s">
        <v>399</v>
      </c>
      <c r="P21" s="471"/>
      <c r="Q21" s="471" t="str">
        <f t="shared" si="8"/>
        <v/>
      </c>
      <c r="R21" s="472"/>
      <c r="S21" s="472"/>
      <c r="T21" s="473">
        <f t="shared" si="10"/>
        <v>0</v>
      </c>
      <c r="U21" s="474">
        <v>0.7</v>
      </c>
      <c r="V21" s="475">
        <v>0.9</v>
      </c>
      <c r="W21" s="476" t="str">
        <f t="shared" si="11"/>
        <v/>
      </c>
      <c r="X21" s="179"/>
    </row>
    <row r="22" spans="2:24" ht="15.6" x14ac:dyDescent="0.3">
      <c r="B22" s="466">
        <v>2</v>
      </c>
      <c r="C22" s="1059"/>
      <c r="D22" s="1052"/>
      <c r="E22" s="1067"/>
      <c r="F22" s="478"/>
      <c r="G22" s="1063"/>
      <c r="H22" s="1063"/>
      <c r="I22" s="1074"/>
      <c r="J22" s="1070"/>
      <c r="K22" s="1072"/>
      <c r="L22" s="1073"/>
      <c r="M22" s="383" t="s">
        <v>337</v>
      </c>
      <c r="N22" s="471"/>
      <c r="O22" s="383" t="s">
        <v>401</v>
      </c>
      <c r="P22" s="471"/>
      <c r="Q22" s="471" t="str">
        <f t="shared" si="8"/>
        <v/>
      </c>
      <c r="R22" s="472"/>
      <c r="S22" s="472"/>
      <c r="T22" s="473">
        <f t="shared" si="10"/>
        <v>0</v>
      </c>
      <c r="U22" s="474">
        <v>0.7</v>
      </c>
      <c r="V22" s="475">
        <v>0.9</v>
      </c>
      <c r="W22" s="476" t="str">
        <f t="shared" si="11"/>
        <v/>
      </c>
      <c r="X22" s="179"/>
    </row>
    <row r="23" spans="2:24" ht="15.6" x14ac:dyDescent="0.3">
      <c r="B23" s="458">
        <v>3</v>
      </c>
      <c r="C23" s="1065" t="s">
        <v>609</v>
      </c>
      <c r="D23" s="1052" t="s">
        <v>1907</v>
      </c>
      <c r="E23" s="1053"/>
      <c r="F23" s="459" t="str">
        <f>IF(E23&lt;&gt;"","?","")</f>
        <v/>
      </c>
      <c r="G23" s="1055"/>
      <c r="H23" s="1046"/>
      <c r="I23" s="1047">
        <f>IF(OR(G23="Ja",G23="JA",G23="ja",G23="Oui",G23="OUI",G23="oui"),100%,
IF(OR(G23="Nein",G23="NEIN",G23="nein",G23="Oon",G23="NON",G23="non"),0%,
IF(G23&lt;&gt;0,
IF(H23&gt;=G23,G23/H23,
IF(H23&lt;G23,H23/G23)),
0%)))</f>
        <v>0</v>
      </c>
      <c r="J23" s="1048">
        <v>0.7</v>
      </c>
      <c r="K23" s="1050">
        <v>0.9</v>
      </c>
      <c r="L23" s="1057" t="str">
        <f t="shared" ref="L23:L29" si="14">IF(E23="","",IF(I23&lt;=J23,3,IF(I23&lt;=K23,2,1)))</f>
        <v/>
      </c>
      <c r="M23" s="383" t="s">
        <v>338</v>
      </c>
      <c r="N23" s="460"/>
      <c r="O23" s="383" t="s">
        <v>403</v>
      </c>
      <c r="P23" s="460"/>
      <c r="Q23" s="460" t="str">
        <f t="shared" ref="Q23:Q30" si="15">IF(P23&lt;&gt;"","?","")</f>
        <v/>
      </c>
      <c r="R23" s="468"/>
      <c r="S23" s="468"/>
      <c r="T23" s="462">
        <f>IF(OR(R23="Ja",R23="JA",R23="ja",R23="Oui",R23="OUI",R23="oui"),100%,
IF(OR(R23="Nein",R23="NEIN",R23="nein",R23="Oon",R23="NON",R23="non"),0%,
IF(R23&lt;&gt;0,
IF(S23&gt;=R23,R23/S23,
IF(S23&lt;R23,S23/R23)),
0%)))</f>
        <v>0</v>
      </c>
      <c r="U23" s="463">
        <v>0.7</v>
      </c>
      <c r="V23" s="464">
        <v>0.9</v>
      </c>
      <c r="W23" s="465" t="str">
        <f t="shared" ref="W23:W24" si="16">IF(P23="","",IF(T23&lt;=U23,3,IF(T23&lt;=V23,2,1)))</f>
        <v/>
      </c>
      <c r="X23" s="179"/>
    </row>
    <row r="24" spans="2:24" ht="15.6" x14ac:dyDescent="0.3">
      <c r="B24" s="466">
        <v>3</v>
      </c>
      <c r="C24" s="1065"/>
      <c r="D24" s="1052"/>
      <c r="E24" s="1054"/>
      <c r="F24" s="467"/>
      <c r="G24" s="1056"/>
      <c r="H24" s="1046"/>
      <c r="I24" s="1047"/>
      <c r="J24" s="1049"/>
      <c r="K24" s="1051"/>
      <c r="L24" s="1057"/>
      <c r="M24" s="383" t="s">
        <v>339</v>
      </c>
      <c r="N24" s="460"/>
      <c r="O24" s="383" t="s">
        <v>405</v>
      </c>
      <c r="P24" s="460"/>
      <c r="Q24" s="460" t="str">
        <f t="shared" si="15"/>
        <v/>
      </c>
      <c r="R24" s="468"/>
      <c r="S24" s="468"/>
      <c r="T24" s="462">
        <f t="shared" ref="T24:T30" si="17">IF(OR(R24="Ja",R24="JA",R24="ja",R24="Oui",R24="OUI",R24="oui"),100%,
IF(OR(R24="Nein",R24="NEIN",R24="nein",R24="Oon",R24="NON",R24="non"),0%,
IF(R24&lt;&gt;0,
IF(S24&gt;=R24,R24/S24,
IF(S24&lt;R24,S24/R24)),
0%)))</f>
        <v>0</v>
      </c>
      <c r="U24" s="463">
        <v>0.7</v>
      </c>
      <c r="V24" s="464">
        <v>0.9</v>
      </c>
      <c r="W24" s="465" t="str">
        <f t="shared" si="16"/>
        <v/>
      </c>
      <c r="X24" s="179"/>
    </row>
    <row r="25" spans="2:24" ht="15.6" x14ac:dyDescent="0.3">
      <c r="B25" s="466">
        <v>3</v>
      </c>
      <c r="C25" s="1065"/>
      <c r="D25" s="1052" t="s">
        <v>1908</v>
      </c>
      <c r="E25" s="1060"/>
      <c r="F25" s="459" t="str">
        <f>IF(E25&lt;&gt;"","?","")</f>
        <v/>
      </c>
      <c r="G25" s="1046"/>
      <c r="H25" s="1046"/>
      <c r="I25" s="1047">
        <f>IF(OR(G25="Ja",G25="JA",G25="ja",G25="Oui",G25="OUI",G25="oui"),100%,
IF(OR(G25="Nein",G25="NEIN",G25="nein",G25="Oon",G25="NON",G25="non"),0%,
IF(G25&lt;&gt;0,
IF(H25&gt;=G25,G25/H25,
IF(H25&lt;G25,H25/G25)),
0%)))</f>
        <v>0</v>
      </c>
      <c r="J25" s="1048">
        <v>0.7</v>
      </c>
      <c r="K25" s="1050">
        <v>0.9</v>
      </c>
      <c r="L25" s="1057" t="str">
        <f t="shared" si="14"/>
        <v/>
      </c>
      <c r="M25" s="383" t="s">
        <v>628</v>
      </c>
      <c r="N25" s="460"/>
      <c r="O25" s="383" t="s">
        <v>610</v>
      </c>
      <c r="P25" s="460"/>
      <c r="Q25" s="460" t="str">
        <f t="shared" si="15"/>
        <v/>
      </c>
      <c r="R25" s="468"/>
      <c r="S25" s="468"/>
      <c r="T25" s="462">
        <f t="shared" si="17"/>
        <v>0</v>
      </c>
      <c r="U25" s="463">
        <v>0.7</v>
      </c>
      <c r="V25" s="464">
        <v>0.9</v>
      </c>
      <c r="W25" s="465" t="str">
        <f>IF(P25="","",IF(T25&lt;=U25,3,IF(T25&lt;=V25,2,1)))</f>
        <v/>
      </c>
      <c r="X25" s="179"/>
    </row>
    <row r="26" spans="2:24" ht="15.6" x14ac:dyDescent="0.3">
      <c r="B26" s="466">
        <v>3</v>
      </c>
      <c r="C26" s="1065"/>
      <c r="D26" s="1052"/>
      <c r="E26" s="1060"/>
      <c r="F26" s="467"/>
      <c r="G26" s="1046"/>
      <c r="H26" s="1046"/>
      <c r="I26" s="1047"/>
      <c r="J26" s="1049"/>
      <c r="K26" s="1051"/>
      <c r="L26" s="1057"/>
      <c r="M26" s="383" t="s">
        <v>631</v>
      </c>
      <c r="N26" s="460"/>
      <c r="O26" s="383" t="s">
        <v>611</v>
      </c>
      <c r="P26" s="460"/>
      <c r="Q26" s="460" t="str">
        <f t="shared" si="15"/>
        <v/>
      </c>
      <c r="R26" s="468"/>
      <c r="S26" s="468"/>
      <c r="T26" s="462">
        <f t="shared" si="17"/>
        <v>0</v>
      </c>
      <c r="U26" s="463">
        <v>0.7</v>
      </c>
      <c r="V26" s="464">
        <v>0.9</v>
      </c>
      <c r="W26" s="465" t="str">
        <f t="shared" ref="W26:W30" si="18">IF(P26="","",IF(T26&lt;=U26,3,IF(T26&lt;=V26,2,1)))</f>
        <v/>
      </c>
      <c r="X26" s="179"/>
    </row>
    <row r="27" spans="2:24" ht="15.6" x14ac:dyDescent="0.3">
      <c r="B27" s="466">
        <v>3</v>
      </c>
      <c r="C27" s="1065"/>
      <c r="D27" s="1052" t="s">
        <v>1909</v>
      </c>
      <c r="E27" s="1068"/>
      <c r="F27" s="459" t="str">
        <f>IF(E27&lt;&gt;"","?","")</f>
        <v/>
      </c>
      <c r="G27" s="1046"/>
      <c r="H27" s="1046"/>
      <c r="I27" s="1047">
        <f t="shared" ref="I27" si="19">IF(OR(G27="Ja",G27="JA",G27="ja",G27="Oui",G27="OUI",G27="oui"),100%,
IF(OR(G27="Nein",G27="NEIN",G27="nein",G27="Oon",G27="NON",G27="non"),0%,
IF(G27&lt;&gt;0,
IF(H27&gt;=G27,G27/H27,
IF(H27&lt;G27,H27/G27)),
0%)))</f>
        <v>0</v>
      </c>
      <c r="J27" s="1048">
        <v>0.7</v>
      </c>
      <c r="K27" s="1050">
        <v>0.9</v>
      </c>
      <c r="L27" s="1057" t="str">
        <f t="shared" si="14"/>
        <v/>
      </c>
      <c r="M27" s="383" t="s">
        <v>634</v>
      </c>
      <c r="N27" s="460"/>
      <c r="O27" s="383" t="s">
        <v>612</v>
      </c>
      <c r="P27" s="460"/>
      <c r="Q27" s="460" t="str">
        <f t="shared" si="15"/>
        <v/>
      </c>
      <c r="R27" s="468"/>
      <c r="S27" s="468"/>
      <c r="T27" s="462">
        <f t="shared" si="17"/>
        <v>0</v>
      </c>
      <c r="U27" s="463">
        <v>0.7</v>
      </c>
      <c r="V27" s="464">
        <v>0.9</v>
      </c>
      <c r="W27" s="465" t="str">
        <f t="shared" si="18"/>
        <v/>
      </c>
      <c r="X27" s="179"/>
    </row>
    <row r="28" spans="2:24" ht="15.6" x14ac:dyDescent="0.3">
      <c r="B28" s="466">
        <v>3</v>
      </c>
      <c r="C28" s="1065"/>
      <c r="D28" s="1052"/>
      <c r="E28" s="1060"/>
      <c r="F28" s="467"/>
      <c r="G28" s="1046"/>
      <c r="H28" s="1046"/>
      <c r="I28" s="1047"/>
      <c r="J28" s="1049"/>
      <c r="K28" s="1051"/>
      <c r="L28" s="1057"/>
      <c r="M28" s="383" t="s">
        <v>637</v>
      </c>
      <c r="N28" s="460"/>
      <c r="O28" s="383" t="s">
        <v>613</v>
      </c>
      <c r="P28" s="460"/>
      <c r="Q28" s="460" t="str">
        <f t="shared" si="15"/>
        <v/>
      </c>
      <c r="R28" s="468"/>
      <c r="S28" s="468"/>
      <c r="T28" s="462">
        <f t="shared" si="17"/>
        <v>0</v>
      </c>
      <c r="U28" s="463">
        <v>0.7</v>
      </c>
      <c r="V28" s="464">
        <v>0.9</v>
      </c>
      <c r="W28" s="465" t="str">
        <f t="shared" si="18"/>
        <v/>
      </c>
      <c r="X28" s="179"/>
    </row>
    <row r="29" spans="2:24" ht="15.6" x14ac:dyDescent="0.3">
      <c r="B29" s="466">
        <v>3</v>
      </c>
      <c r="C29" s="1065"/>
      <c r="D29" s="1052" t="s">
        <v>1910</v>
      </c>
      <c r="E29" s="1060"/>
      <c r="F29" s="459" t="str">
        <f>IF(E29&lt;&gt;"","?","")</f>
        <v/>
      </c>
      <c r="G29" s="1046"/>
      <c r="H29" s="1046"/>
      <c r="I29" s="1047">
        <f t="shared" ref="I29" si="20">IF(OR(G29="Ja",G29="JA",G29="ja",G29="Oui",G29="OUI",G29="oui"),100%,
IF(OR(G29="Nein",G29="NEIN",G29="nein",G29="Oon",G29="NON",G29="non"),0%,
IF(G29&lt;&gt;0,
IF(H29&gt;=G29,G29/H29,
IF(H29&lt;G29,H29/G29)),
0%)))</f>
        <v>0</v>
      </c>
      <c r="J29" s="1048">
        <v>0.7</v>
      </c>
      <c r="K29" s="1050">
        <v>0.9</v>
      </c>
      <c r="L29" s="1057" t="str">
        <f t="shared" si="14"/>
        <v/>
      </c>
      <c r="M29" s="383" t="s">
        <v>640</v>
      </c>
      <c r="N29" s="460"/>
      <c r="O29" s="383" t="s">
        <v>614</v>
      </c>
      <c r="P29" s="460"/>
      <c r="Q29" s="460" t="str">
        <f t="shared" si="15"/>
        <v/>
      </c>
      <c r="R29" s="468"/>
      <c r="S29" s="468"/>
      <c r="T29" s="462">
        <f t="shared" si="17"/>
        <v>0</v>
      </c>
      <c r="U29" s="463">
        <v>0.7</v>
      </c>
      <c r="V29" s="464">
        <v>0.9</v>
      </c>
      <c r="W29" s="465" t="str">
        <f t="shared" si="18"/>
        <v/>
      </c>
      <c r="X29" s="179"/>
    </row>
    <row r="30" spans="2:24" ht="15.6" x14ac:dyDescent="0.3">
      <c r="B30" s="466">
        <v>3</v>
      </c>
      <c r="C30" s="1065"/>
      <c r="D30" s="1052"/>
      <c r="E30" s="1060"/>
      <c r="F30" s="469"/>
      <c r="G30" s="1046"/>
      <c r="H30" s="1046"/>
      <c r="I30" s="1058"/>
      <c r="J30" s="1049"/>
      <c r="K30" s="1051"/>
      <c r="L30" s="1057"/>
      <c r="M30" s="383" t="s">
        <v>643</v>
      </c>
      <c r="N30" s="460"/>
      <c r="O30" s="383" t="s">
        <v>615</v>
      </c>
      <c r="P30" s="460"/>
      <c r="Q30" s="460" t="str">
        <f t="shared" si="15"/>
        <v/>
      </c>
      <c r="R30" s="468"/>
      <c r="S30" s="468"/>
      <c r="T30" s="462">
        <f t="shared" si="17"/>
        <v>0</v>
      </c>
      <c r="U30" s="463">
        <v>0.7</v>
      </c>
      <c r="V30" s="464">
        <v>0.9</v>
      </c>
      <c r="W30" s="465" t="str">
        <f t="shared" si="18"/>
        <v/>
      </c>
      <c r="X30" s="179"/>
    </row>
    <row r="31" spans="2:24" ht="15.6" x14ac:dyDescent="0.3">
      <c r="B31" s="458">
        <v>4</v>
      </c>
      <c r="C31" s="1059">
        <v>4</v>
      </c>
      <c r="D31" s="1052" t="s">
        <v>1911</v>
      </c>
      <c r="E31" s="1075"/>
      <c r="F31" s="470" t="str">
        <f>IF(E31&lt;&gt;"","?","")</f>
        <v/>
      </c>
      <c r="G31" s="1061"/>
      <c r="H31" s="1063"/>
      <c r="I31" s="1064">
        <f>IF(OR(G31="Ja",G31="JA",G31="ja",G31="Oui",G31="OUI",G31="oui"),100%,
IF(OR(G31="Nein",G31="NEIN",G31="nein",G31="Oon",G31="NON",G31="non"),0%,
IF(G31&lt;&gt;0,
IF(H31&gt;=G31,G31/H31,
IF(H31&lt;G31,H31/G31)),
0%)))</f>
        <v>0</v>
      </c>
      <c r="J31" s="1069">
        <v>0.7</v>
      </c>
      <c r="K31" s="1071">
        <v>0.9</v>
      </c>
      <c r="L31" s="1073" t="str">
        <f>IF(E31="","",IF(I31&lt;=J31,3,IF(I31&lt;=K31,2,1)))</f>
        <v/>
      </c>
      <c r="M31" s="383" t="s">
        <v>646</v>
      </c>
      <c r="N31" s="471"/>
      <c r="O31" s="383" t="s">
        <v>616</v>
      </c>
      <c r="P31" s="471"/>
      <c r="Q31" s="471" t="str">
        <f t="shared" ref="Q31:Q38" si="21">IF(P31&lt;&gt;"","?","")</f>
        <v/>
      </c>
      <c r="R31" s="472"/>
      <c r="S31" s="472"/>
      <c r="T31" s="473">
        <f>IF(OR(R31="Ja",R31="JA",R31="ja",R31="Oui",R31="OUI",R31="oui"),100%,
IF(OR(R31="Nein",R31="NEIN",R31="nein",R31="Oon",R31="NON",R31="non"),0%,
IF(R31&lt;&gt;0,
IF(S31&gt;=R31,R31/S31,
IF(S31&lt;R31,S31/R31)),
0%)))</f>
        <v>0</v>
      </c>
      <c r="U31" s="474">
        <v>0.7</v>
      </c>
      <c r="V31" s="475">
        <v>0.9</v>
      </c>
      <c r="W31" s="476" t="str">
        <f t="shared" ref="W31:W32" si="22">IF(P31="","",IF(T31&lt;=U31,3,IF(T31&lt;=V31,2,1)))</f>
        <v/>
      </c>
      <c r="X31" s="179"/>
    </row>
    <row r="32" spans="2:24" ht="15.6" x14ac:dyDescent="0.3">
      <c r="B32" s="466">
        <v>4</v>
      </c>
      <c r="C32" s="1059"/>
      <c r="D32" s="1052"/>
      <c r="E32" s="1076"/>
      <c r="F32" s="477"/>
      <c r="G32" s="1062"/>
      <c r="H32" s="1063"/>
      <c r="I32" s="1064"/>
      <c r="J32" s="1070"/>
      <c r="K32" s="1072"/>
      <c r="L32" s="1073"/>
      <c r="M32" s="383" t="s">
        <v>649</v>
      </c>
      <c r="N32" s="471"/>
      <c r="O32" s="383" t="s">
        <v>617</v>
      </c>
      <c r="P32" s="471"/>
      <c r="Q32" s="471" t="str">
        <f t="shared" si="21"/>
        <v/>
      </c>
      <c r="R32" s="472"/>
      <c r="S32" s="472"/>
      <c r="T32" s="473">
        <f t="shared" ref="T32:T38" si="23">IF(OR(R32="Ja",R32="JA",R32="ja",R32="Oui",R32="OUI",R32="oui"),100%,
IF(OR(R32="Nein",R32="NEIN",R32="nein",R32="Oon",R32="NON",R32="non"),0%,
IF(R32&lt;&gt;0,
IF(S32&gt;=R32,R32/S32,
IF(S32&lt;R32,S32/R32)),
0%)))</f>
        <v>0</v>
      </c>
      <c r="U32" s="474">
        <v>0.7</v>
      </c>
      <c r="V32" s="475">
        <v>0.9</v>
      </c>
      <c r="W32" s="476" t="str">
        <f t="shared" si="22"/>
        <v/>
      </c>
      <c r="X32" s="179"/>
    </row>
    <row r="33" spans="2:24" ht="15.6" x14ac:dyDescent="0.3">
      <c r="B33" s="466">
        <v>4</v>
      </c>
      <c r="C33" s="1059"/>
      <c r="D33" s="1052" t="s">
        <v>1912</v>
      </c>
      <c r="E33" s="1067"/>
      <c r="F33" s="470" t="str">
        <f>IF(E33&lt;&gt;"","?","")</f>
        <v/>
      </c>
      <c r="G33" s="1063"/>
      <c r="H33" s="1063"/>
      <c r="I33" s="1064">
        <f>IF(OR(G33="Ja",G33="JA",G33="ja",G33="Oui",G33="OUI",G33="oui"),100%,
IF(OR(G33="Nein",G33="NEIN",G33="nein",G33="Oon",G33="NON",G33="non"),0%,
IF(G33&lt;&gt;0,
IF(H33&gt;=G33,G33/H33,
IF(H33&lt;G33,H33/G33)),
0%)))</f>
        <v>0</v>
      </c>
      <c r="J33" s="1069">
        <v>0.7</v>
      </c>
      <c r="K33" s="1071">
        <v>0.9</v>
      </c>
      <c r="L33" s="1073" t="str">
        <f>IF(E33="","",IF(I33&lt;=J33,3,IF(I33&lt;=K33,2,1)))</f>
        <v/>
      </c>
      <c r="M33" s="383" t="s">
        <v>652</v>
      </c>
      <c r="N33" s="471"/>
      <c r="O33" s="383" t="s">
        <v>618</v>
      </c>
      <c r="P33" s="471"/>
      <c r="Q33" s="471" t="str">
        <f t="shared" si="21"/>
        <v/>
      </c>
      <c r="R33" s="472"/>
      <c r="S33" s="472"/>
      <c r="T33" s="473">
        <f t="shared" si="23"/>
        <v>0</v>
      </c>
      <c r="U33" s="474">
        <v>0.7</v>
      </c>
      <c r="V33" s="475">
        <v>0.9</v>
      </c>
      <c r="W33" s="476" t="str">
        <f>IF(P33="","",IF(T33&lt;=U33,3,IF(T33&lt;=V33,2,1)))</f>
        <v/>
      </c>
      <c r="X33" s="179"/>
    </row>
    <row r="34" spans="2:24" ht="15.6" x14ac:dyDescent="0.3">
      <c r="B34" s="466">
        <v>4</v>
      </c>
      <c r="C34" s="1059"/>
      <c r="D34" s="1052"/>
      <c r="E34" s="1067"/>
      <c r="F34" s="477"/>
      <c r="G34" s="1063"/>
      <c r="H34" s="1063"/>
      <c r="I34" s="1064"/>
      <c r="J34" s="1070"/>
      <c r="K34" s="1072"/>
      <c r="L34" s="1073"/>
      <c r="M34" s="383" t="s">
        <v>655</v>
      </c>
      <c r="N34" s="471"/>
      <c r="O34" s="383" t="s">
        <v>619</v>
      </c>
      <c r="P34" s="471"/>
      <c r="Q34" s="471" t="str">
        <f t="shared" si="21"/>
        <v/>
      </c>
      <c r="R34" s="472"/>
      <c r="S34" s="472"/>
      <c r="T34" s="473">
        <f t="shared" si="23"/>
        <v>0</v>
      </c>
      <c r="U34" s="474">
        <v>0.7</v>
      </c>
      <c r="V34" s="475">
        <v>0.9</v>
      </c>
      <c r="W34" s="476" t="str">
        <f t="shared" ref="W34:W38" si="24">IF(P34="","",IF(T34&lt;=U34,3,IF(T34&lt;=V34,2,1)))</f>
        <v/>
      </c>
      <c r="X34" s="179"/>
    </row>
    <row r="35" spans="2:24" ht="15.6" x14ac:dyDescent="0.3">
      <c r="B35" s="466">
        <v>4</v>
      </c>
      <c r="C35" s="1059"/>
      <c r="D35" s="1052" t="s">
        <v>1913</v>
      </c>
      <c r="E35" s="1066"/>
      <c r="F35" s="470" t="str">
        <f>IF(E35&lt;&gt;"","?","")</f>
        <v/>
      </c>
      <c r="G35" s="1063"/>
      <c r="H35" s="1063"/>
      <c r="I35" s="1064">
        <f t="shared" ref="I35" si="25">IF(OR(G35="Ja",G35="JA",G35="ja",G35="Oui",G35="OUI",G35="oui"),100%,
IF(OR(G35="Nein",G35="NEIN",G35="nein",G35="Oon",G35="NON",G35="non"),0%,
IF(G35&lt;&gt;0,
IF(H35&gt;=G35,G35/H35,
IF(H35&lt;G35,H35/G35)),
0%)))</f>
        <v>0</v>
      </c>
      <c r="J35" s="1069">
        <v>0.7</v>
      </c>
      <c r="K35" s="1071">
        <v>0.9</v>
      </c>
      <c r="L35" s="1073" t="str">
        <f>IF(E35="","",IF(I35&lt;=J35,3,IF(I35&lt;=K35,2,1)))</f>
        <v/>
      </c>
      <c r="M35" s="383" t="s">
        <v>658</v>
      </c>
      <c r="N35" s="471"/>
      <c r="O35" s="383" t="s">
        <v>620</v>
      </c>
      <c r="P35" s="471"/>
      <c r="Q35" s="471" t="str">
        <f t="shared" si="21"/>
        <v/>
      </c>
      <c r="R35" s="472"/>
      <c r="S35" s="472"/>
      <c r="T35" s="473">
        <f t="shared" si="23"/>
        <v>0</v>
      </c>
      <c r="U35" s="474">
        <v>0.7</v>
      </c>
      <c r="V35" s="475">
        <v>0.9</v>
      </c>
      <c r="W35" s="476" t="str">
        <f t="shared" si="24"/>
        <v/>
      </c>
      <c r="X35" s="179"/>
    </row>
    <row r="36" spans="2:24" ht="15.6" x14ac:dyDescent="0.3">
      <c r="B36" s="466">
        <v>4</v>
      </c>
      <c r="C36" s="1059"/>
      <c r="D36" s="1052"/>
      <c r="E36" s="1067"/>
      <c r="F36" s="477"/>
      <c r="G36" s="1063"/>
      <c r="H36" s="1063"/>
      <c r="I36" s="1064"/>
      <c r="J36" s="1070"/>
      <c r="K36" s="1072"/>
      <c r="L36" s="1073"/>
      <c r="M36" s="383" t="s">
        <v>661</v>
      </c>
      <c r="N36" s="471"/>
      <c r="O36" s="383" t="s">
        <v>621</v>
      </c>
      <c r="P36" s="471"/>
      <c r="Q36" s="471" t="str">
        <f t="shared" si="21"/>
        <v/>
      </c>
      <c r="R36" s="472"/>
      <c r="S36" s="472"/>
      <c r="T36" s="473">
        <f t="shared" si="23"/>
        <v>0</v>
      </c>
      <c r="U36" s="474">
        <v>0.7</v>
      </c>
      <c r="V36" s="475">
        <v>0.9</v>
      </c>
      <c r="W36" s="476" t="str">
        <f t="shared" si="24"/>
        <v/>
      </c>
      <c r="X36" s="179"/>
    </row>
    <row r="37" spans="2:24" ht="15.6" x14ac:dyDescent="0.3">
      <c r="B37" s="466">
        <v>4</v>
      </c>
      <c r="C37" s="1059"/>
      <c r="D37" s="1052" t="s">
        <v>1914</v>
      </c>
      <c r="E37" s="1067"/>
      <c r="F37" s="470" t="str">
        <f>IF(E37&lt;&gt;"","?","")</f>
        <v/>
      </c>
      <c r="G37" s="1063"/>
      <c r="H37" s="1063"/>
      <c r="I37" s="1064">
        <f t="shared" ref="I37" si="26">IF(OR(G37="Ja",G37="JA",G37="ja",G37="Oui",G37="OUI",G37="oui"),100%,
IF(OR(G37="Nein",G37="NEIN",G37="nein",G37="Oon",G37="NON",G37="non"),0%,
IF(G37&lt;&gt;0,
IF(H37&gt;=G37,G37/H37,
IF(H37&lt;G37,H37/G37)),
0%)))</f>
        <v>0</v>
      </c>
      <c r="J37" s="1069">
        <v>0.7</v>
      </c>
      <c r="K37" s="1071">
        <v>0.9</v>
      </c>
      <c r="L37" s="1073" t="str">
        <f>IF(E37="","",IF(I37&lt;=J37,3,IF(I37&lt;=K37,2,1)))</f>
        <v/>
      </c>
      <c r="M37" s="383" t="s">
        <v>664</v>
      </c>
      <c r="N37" s="471"/>
      <c r="O37" s="383" t="s">
        <v>622</v>
      </c>
      <c r="P37" s="471"/>
      <c r="Q37" s="471" t="str">
        <f t="shared" si="21"/>
        <v/>
      </c>
      <c r="R37" s="472"/>
      <c r="S37" s="472"/>
      <c r="T37" s="473">
        <f t="shared" si="23"/>
        <v>0</v>
      </c>
      <c r="U37" s="474">
        <v>0.7</v>
      </c>
      <c r="V37" s="475">
        <v>0.9</v>
      </c>
      <c r="W37" s="476" t="str">
        <f t="shared" si="24"/>
        <v/>
      </c>
      <c r="X37" s="179"/>
    </row>
    <row r="38" spans="2:24" ht="15.6" x14ac:dyDescent="0.3">
      <c r="B38" s="466">
        <v>4</v>
      </c>
      <c r="C38" s="1059"/>
      <c r="D38" s="1052"/>
      <c r="E38" s="1067"/>
      <c r="F38" s="478"/>
      <c r="G38" s="1063"/>
      <c r="H38" s="1063"/>
      <c r="I38" s="1074"/>
      <c r="J38" s="1070"/>
      <c r="K38" s="1072"/>
      <c r="L38" s="1073"/>
      <c r="M38" s="383" t="s">
        <v>667</v>
      </c>
      <c r="N38" s="471"/>
      <c r="O38" s="383" t="s">
        <v>623</v>
      </c>
      <c r="P38" s="471"/>
      <c r="Q38" s="471" t="str">
        <f t="shared" si="21"/>
        <v/>
      </c>
      <c r="R38" s="472"/>
      <c r="S38" s="472"/>
      <c r="T38" s="473">
        <f t="shared" si="23"/>
        <v>0</v>
      </c>
      <c r="U38" s="474">
        <v>0.7</v>
      </c>
      <c r="V38" s="475">
        <v>0.9</v>
      </c>
      <c r="W38" s="476" t="str">
        <f t="shared" si="24"/>
        <v/>
      </c>
      <c r="X38" s="179"/>
    </row>
    <row r="39" spans="2:24" ht="15.6" x14ac:dyDescent="0.3">
      <c r="B39" s="458">
        <v>5</v>
      </c>
      <c r="C39" s="1065">
        <v>5</v>
      </c>
      <c r="D39" s="1052" t="s">
        <v>1915</v>
      </c>
      <c r="E39" s="1053"/>
      <c r="F39" s="459" t="str">
        <f>IF(E39&lt;&gt;"","?","")</f>
        <v/>
      </c>
      <c r="G39" s="1055"/>
      <c r="H39" s="1046"/>
      <c r="I39" s="1047">
        <f>IF(OR(G39="Ja",G39="JA",G39="ja",G39="Oui",G39="OUI",G39="oui"),100%,
IF(OR(G39="Nein",G39="NEIN",G39="nein",G39="Oon",G39="NON",G39="non"),0%,
IF(G39&lt;&gt;0,
IF(H39&gt;=G39,G39/H39,
IF(H39&lt;G39,H39/G39)),
0%)))</f>
        <v>0</v>
      </c>
      <c r="J39" s="1048">
        <v>0.7</v>
      </c>
      <c r="K39" s="1050">
        <v>0.9</v>
      </c>
      <c r="L39" s="1057" t="str">
        <f>IF(E39="","",IF(I39&lt;=J39,3,IF(I39&lt;=K39,2,1)))</f>
        <v/>
      </c>
      <c r="M39" s="383" t="s">
        <v>670</v>
      </c>
      <c r="N39" s="460"/>
      <c r="O39" s="383" t="s">
        <v>624</v>
      </c>
      <c r="P39" s="460"/>
      <c r="Q39" s="460" t="str">
        <f t="shared" ref="Q39:Q46" si="27">IF(P39&lt;&gt;"","?","")</f>
        <v/>
      </c>
      <c r="R39" s="468"/>
      <c r="S39" s="468"/>
      <c r="T39" s="462">
        <f>IF(OR(R39="Ja",R39="JA",R39="ja",R39="Oui",R39="OUI",R39="oui"),100%,
IF(OR(R39="Nein",R39="NEIN",R39="nein",R39="Oon",R39="NON",R39="non"),0%,
IF(R39&lt;&gt;0,
IF(S39&gt;=R39,R39/S39,
IF(S39&lt;R39,S39/R39)),
0%)))</f>
        <v>0</v>
      </c>
      <c r="U39" s="463">
        <v>0.7</v>
      </c>
      <c r="V39" s="464">
        <v>0.9</v>
      </c>
      <c r="W39" s="465" t="str">
        <f t="shared" ref="W39:W40" si="28">IF(P39="","",IF(T39&lt;=U39,3,IF(T39&lt;=V39,2,1)))</f>
        <v/>
      </c>
      <c r="X39" s="179"/>
    </row>
    <row r="40" spans="2:24" ht="15.6" x14ac:dyDescent="0.3">
      <c r="B40" s="466">
        <v>5</v>
      </c>
      <c r="C40" s="1065"/>
      <c r="D40" s="1052"/>
      <c r="E40" s="1054"/>
      <c r="F40" s="467"/>
      <c r="G40" s="1056"/>
      <c r="H40" s="1046"/>
      <c r="I40" s="1047"/>
      <c r="J40" s="1049"/>
      <c r="K40" s="1051"/>
      <c r="L40" s="1057"/>
      <c r="M40" s="383" t="s">
        <v>673</v>
      </c>
      <c r="N40" s="460"/>
      <c r="O40" s="383" t="s">
        <v>625</v>
      </c>
      <c r="P40" s="460"/>
      <c r="Q40" s="460" t="str">
        <f t="shared" si="27"/>
        <v/>
      </c>
      <c r="R40" s="468"/>
      <c r="S40" s="468"/>
      <c r="T40" s="462">
        <f t="shared" ref="T40:T46" si="29">IF(OR(R40="Ja",R40="JA",R40="ja",R40="Oui",R40="OUI",R40="oui"),100%,
IF(OR(R40="Nein",R40="NEIN",R40="nein",R40="Oon",R40="NON",R40="non"),0%,
IF(R40&lt;&gt;0,
IF(S40&gt;=R40,R40/S40,
IF(S40&lt;R40,S40/R40)),
0%)))</f>
        <v>0</v>
      </c>
      <c r="U40" s="463">
        <v>0.7</v>
      </c>
      <c r="V40" s="464">
        <v>0.9</v>
      </c>
      <c r="W40" s="465" t="str">
        <f t="shared" si="28"/>
        <v/>
      </c>
      <c r="X40" s="179"/>
    </row>
    <row r="41" spans="2:24" ht="15.6" x14ac:dyDescent="0.3">
      <c r="B41" s="466">
        <v>5</v>
      </c>
      <c r="C41" s="1065"/>
      <c r="D41" s="1052" t="s">
        <v>1916</v>
      </c>
      <c r="E41" s="1060"/>
      <c r="F41" s="459" t="str">
        <f>IF(E41&lt;&gt;"","?","")</f>
        <v/>
      </c>
      <c r="G41" s="1046"/>
      <c r="H41" s="1046"/>
      <c r="I41" s="1047">
        <f>IF(OR(G41="Ja",G41="JA",G41="ja",G41="Oui",G41="OUI",G41="oui"),100%,
IF(OR(G41="Nein",G41="NEIN",G41="nein",G41="Oon",G41="NON",G41="non"),0%,
IF(G41&lt;&gt;0,
IF(H41&gt;=G41,G41/H41,
IF(H41&lt;G41,H41/G41)),
0%)))</f>
        <v>0</v>
      </c>
      <c r="J41" s="1048">
        <v>0.7</v>
      </c>
      <c r="K41" s="1050">
        <v>0.9</v>
      </c>
      <c r="L41" s="1057" t="str">
        <f>IF(E41="","",IF(I41&lt;=J41,3,IF(I41&lt;=K41,2,1)))</f>
        <v/>
      </c>
      <c r="M41" s="383" t="s">
        <v>676</v>
      </c>
      <c r="N41" s="460"/>
      <c r="O41" s="383" t="s">
        <v>626</v>
      </c>
      <c r="P41" s="460"/>
      <c r="Q41" s="460" t="str">
        <f t="shared" si="27"/>
        <v/>
      </c>
      <c r="R41" s="468"/>
      <c r="S41" s="468"/>
      <c r="T41" s="462">
        <f t="shared" si="29"/>
        <v>0</v>
      </c>
      <c r="U41" s="463">
        <v>0.7</v>
      </c>
      <c r="V41" s="464">
        <v>0.9</v>
      </c>
      <c r="W41" s="465" t="str">
        <f>IF(P41="","",IF(T41&lt;=U41,3,IF(T41&lt;=V41,2,1)))</f>
        <v/>
      </c>
      <c r="X41" s="179"/>
    </row>
    <row r="42" spans="2:24" ht="15.6" x14ac:dyDescent="0.3">
      <c r="B42" s="466">
        <v>5</v>
      </c>
      <c r="C42" s="1065"/>
      <c r="D42" s="1052"/>
      <c r="E42" s="1060"/>
      <c r="F42" s="467"/>
      <c r="G42" s="1046"/>
      <c r="H42" s="1046"/>
      <c r="I42" s="1047"/>
      <c r="J42" s="1049"/>
      <c r="K42" s="1051"/>
      <c r="L42" s="1057"/>
      <c r="M42" s="383" t="s">
        <v>679</v>
      </c>
      <c r="N42" s="460"/>
      <c r="O42" s="383" t="s">
        <v>627</v>
      </c>
      <c r="P42" s="460"/>
      <c r="Q42" s="460" t="str">
        <f t="shared" si="27"/>
        <v/>
      </c>
      <c r="R42" s="468"/>
      <c r="S42" s="468"/>
      <c r="T42" s="462">
        <f t="shared" si="29"/>
        <v>0</v>
      </c>
      <c r="U42" s="463">
        <v>0.7</v>
      </c>
      <c r="V42" s="464">
        <v>0.9</v>
      </c>
      <c r="W42" s="465" t="str">
        <f t="shared" ref="W42:W46" si="30">IF(P42="","",IF(T42&lt;=U42,3,IF(T42&lt;=V42,2,1)))</f>
        <v/>
      </c>
      <c r="X42" s="179"/>
    </row>
    <row r="43" spans="2:24" ht="15.6" x14ac:dyDescent="0.3">
      <c r="B43" s="466">
        <v>5</v>
      </c>
      <c r="C43" s="1065"/>
      <c r="D43" s="1052" t="s">
        <v>1917</v>
      </c>
      <c r="E43" s="1068"/>
      <c r="F43" s="459" t="str">
        <f>IF(E43&lt;&gt;"","?","")</f>
        <v/>
      </c>
      <c r="G43" s="1046"/>
      <c r="H43" s="1046"/>
      <c r="I43" s="1047">
        <f t="shared" ref="I43" si="31">IF(OR(G43="Ja",G43="JA",G43="ja",G43="Oui",G43="OUI",G43="oui"),100%,
IF(OR(G43="Nein",G43="NEIN",G43="nein",G43="Oon",G43="NON",G43="non"),0%,
IF(G43&lt;&gt;0,
IF(H43&gt;=G43,G43/H43,
IF(H43&lt;G43,H43/G43)),
0%)))</f>
        <v>0</v>
      </c>
      <c r="J43" s="1048">
        <v>0.7</v>
      </c>
      <c r="K43" s="1050">
        <v>0.9</v>
      </c>
      <c r="L43" s="1057" t="str">
        <f>IF(E43="","",IF(I43&lt;=J43,3,IF(I43&lt;=K43,2,1)))</f>
        <v/>
      </c>
      <c r="M43" s="383" t="s">
        <v>682</v>
      </c>
      <c r="N43" s="460"/>
      <c r="O43" s="383" t="s">
        <v>629</v>
      </c>
      <c r="P43" s="460"/>
      <c r="Q43" s="460" t="str">
        <f t="shared" si="27"/>
        <v/>
      </c>
      <c r="R43" s="468"/>
      <c r="S43" s="468"/>
      <c r="T43" s="462">
        <f t="shared" si="29"/>
        <v>0</v>
      </c>
      <c r="U43" s="463">
        <v>0.7</v>
      </c>
      <c r="V43" s="464">
        <v>0.9</v>
      </c>
      <c r="W43" s="465" t="str">
        <f t="shared" si="30"/>
        <v/>
      </c>
      <c r="X43" s="179"/>
    </row>
    <row r="44" spans="2:24" ht="15.6" x14ac:dyDescent="0.3">
      <c r="B44" s="466">
        <v>5</v>
      </c>
      <c r="C44" s="1065"/>
      <c r="D44" s="1052"/>
      <c r="E44" s="1060"/>
      <c r="F44" s="467"/>
      <c r="G44" s="1046"/>
      <c r="H44" s="1046"/>
      <c r="I44" s="1047"/>
      <c r="J44" s="1049"/>
      <c r="K44" s="1051"/>
      <c r="L44" s="1057"/>
      <c r="M44" s="383" t="s">
        <v>685</v>
      </c>
      <c r="N44" s="460"/>
      <c r="O44" s="383" t="s">
        <v>630</v>
      </c>
      <c r="P44" s="460"/>
      <c r="Q44" s="460" t="str">
        <f t="shared" si="27"/>
        <v/>
      </c>
      <c r="R44" s="468"/>
      <c r="S44" s="468"/>
      <c r="T44" s="462">
        <f t="shared" si="29"/>
        <v>0</v>
      </c>
      <c r="U44" s="463">
        <v>0.7</v>
      </c>
      <c r="V44" s="464">
        <v>0.9</v>
      </c>
      <c r="W44" s="465" t="str">
        <f t="shared" si="30"/>
        <v/>
      </c>
      <c r="X44" s="179"/>
    </row>
    <row r="45" spans="2:24" ht="15.6" x14ac:dyDescent="0.3">
      <c r="B45" s="466">
        <v>5</v>
      </c>
      <c r="C45" s="1065"/>
      <c r="D45" s="1052" t="s">
        <v>1918</v>
      </c>
      <c r="E45" s="1060"/>
      <c r="F45" s="459" t="str">
        <f>IF(E45&lt;&gt;"","?","")</f>
        <v/>
      </c>
      <c r="G45" s="1046"/>
      <c r="H45" s="1046"/>
      <c r="I45" s="1047">
        <f t="shared" ref="I45" si="32">IF(OR(G45="Ja",G45="JA",G45="ja",G45="Oui",G45="OUI",G45="oui"),100%,
IF(OR(G45="Nein",G45="NEIN",G45="nein",G45="Oon",G45="NON",G45="non"),0%,
IF(G45&lt;&gt;0,
IF(H45&gt;=G45,G45/H45,
IF(H45&lt;G45,H45/G45)),
0%)))</f>
        <v>0</v>
      </c>
      <c r="J45" s="1048">
        <v>0.7</v>
      </c>
      <c r="K45" s="1050">
        <v>0.9</v>
      </c>
      <c r="L45" s="1057" t="str">
        <f>IF(E45="","",IF(I45&lt;=J45,3,IF(I45&lt;=K45,2,1)))</f>
        <v/>
      </c>
      <c r="M45" s="383" t="s">
        <v>688</v>
      </c>
      <c r="N45" s="460"/>
      <c r="O45" s="383" t="s">
        <v>632</v>
      </c>
      <c r="P45" s="460"/>
      <c r="Q45" s="460" t="str">
        <f t="shared" si="27"/>
        <v/>
      </c>
      <c r="R45" s="468"/>
      <c r="S45" s="468"/>
      <c r="T45" s="462">
        <f t="shared" si="29"/>
        <v>0</v>
      </c>
      <c r="U45" s="463">
        <v>0.7</v>
      </c>
      <c r="V45" s="464">
        <v>0.9</v>
      </c>
      <c r="W45" s="465" t="str">
        <f t="shared" si="30"/>
        <v/>
      </c>
      <c r="X45" s="179"/>
    </row>
    <row r="46" spans="2:24" ht="15.6" x14ac:dyDescent="0.3">
      <c r="B46" s="466">
        <v>5</v>
      </c>
      <c r="C46" s="1065"/>
      <c r="D46" s="1052"/>
      <c r="E46" s="1060"/>
      <c r="F46" s="469"/>
      <c r="G46" s="1046"/>
      <c r="H46" s="1046"/>
      <c r="I46" s="1058"/>
      <c r="J46" s="1049"/>
      <c r="K46" s="1051"/>
      <c r="L46" s="1057"/>
      <c r="M46" s="383" t="s">
        <v>691</v>
      </c>
      <c r="N46" s="460"/>
      <c r="O46" s="383" t="s">
        <v>633</v>
      </c>
      <c r="P46" s="460"/>
      <c r="Q46" s="460" t="str">
        <f t="shared" si="27"/>
        <v/>
      </c>
      <c r="R46" s="468"/>
      <c r="S46" s="468"/>
      <c r="T46" s="462">
        <f t="shared" si="29"/>
        <v>0</v>
      </c>
      <c r="U46" s="463">
        <v>0.7</v>
      </c>
      <c r="V46" s="464">
        <v>0.9</v>
      </c>
      <c r="W46" s="465" t="str">
        <f t="shared" si="30"/>
        <v/>
      </c>
      <c r="X46" s="179"/>
    </row>
    <row r="47" spans="2:24" ht="15.6" x14ac:dyDescent="0.3">
      <c r="B47" s="458">
        <v>6</v>
      </c>
      <c r="C47" s="1059">
        <v>6</v>
      </c>
      <c r="D47" s="1052" t="s">
        <v>1919</v>
      </c>
      <c r="E47" s="1075"/>
      <c r="F47" s="470" t="str">
        <f>IF(E47&lt;&gt;"","?","")</f>
        <v/>
      </c>
      <c r="G47" s="1061"/>
      <c r="H47" s="1063"/>
      <c r="I47" s="1064">
        <f>IF(OR(G47="Ja",G47="JA",G47="ja",G47="Oui",G47="OUI",G47="oui"),100%,
IF(OR(G47="Nein",G47="NEIN",G47="nein",G47="Oon",G47="NON",G47="non"),0%,
IF(G47&lt;&gt;0,
IF(H47&gt;=G47,G47/H47,
IF(H47&lt;G47,H47/G47)),
0%)))</f>
        <v>0</v>
      </c>
      <c r="J47" s="1069">
        <v>0.7</v>
      </c>
      <c r="K47" s="1071">
        <v>0.9</v>
      </c>
      <c r="L47" s="1073" t="str">
        <f>IF(E47="","",IF(I47&lt;=J47,3,IF(I47&lt;=K47,2,1)))</f>
        <v/>
      </c>
      <c r="M47" s="383" t="s">
        <v>1939</v>
      </c>
      <c r="N47" s="471"/>
      <c r="O47" s="383" t="s">
        <v>635</v>
      </c>
      <c r="P47" s="471"/>
      <c r="Q47" s="471" t="str">
        <f t="shared" ref="Q47:Q54" si="33">IF(P47&lt;&gt;"","?","")</f>
        <v/>
      </c>
      <c r="R47" s="472"/>
      <c r="S47" s="472"/>
      <c r="T47" s="473">
        <f>IF(OR(R47="Ja",R47="JA",R47="ja",R47="Oui",R47="OUI",R47="oui"),100%,
IF(OR(R47="Nein",R47="NEIN",R47="nein",R47="Oon",R47="NON",R47="non"),0%,
IF(R47&lt;&gt;0,
IF(S47&gt;=R47,R47/S47,
IF(S47&lt;R47,S47/R47)),
0%)))</f>
        <v>0</v>
      </c>
      <c r="U47" s="474">
        <v>0.7</v>
      </c>
      <c r="V47" s="475">
        <v>0.9</v>
      </c>
      <c r="W47" s="476" t="str">
        <f t="shared" ref="W47:W48" si="34">IF(P47="","",IF(T47&lt;=U47,3,IF(T47&lt;=V47,2,1)))</f>
        <v/>
      </c>
      <c r="X47" s="179"/>
    </row>
    <row r="48" spans="2:24" ht="15.6" x14ac:dyDescent="0.3">
      <c r="B48" s="466">
        <v>6</v>
      </c>
      <c r="C48" s="1059"/>
      <c r="D48" s="1052"/>
      <c r="E48" s="1076"/>
      <c r="F48" s="477"/>
      <c r="G48" s="1062"/>
      <c r="H48" s="1063"/>
      <c r="I48" s="1064"/>
      <c r="J48" s="1070"/>
      <c r="K48" s="1072"/>
      <c r="L48" s="1073"/>
      <c r="M48" s="383" t="s">
        <v>1940</v>
      </c>
      <c r="N48" s="471"/>
      <c r="O48" s="383" t="s">
        <v>636</v>
      </c>
      <c r="P48" s="471"/>
      <c r="Q48" s="471" t="str">
        <f t="shared" si="33"/>
        <v/>
      </c>
      <c r="R48" s="472"/>
      <c r="S48" s="472"/>
      <c r="T48" s="473">
        <f t="shared" ref="T48:T54" si="35">IF(OR(R48="Ja",R48="JA",R48="ja",R48="Oui",R48="OUI",R48="oui"),100%,
IF(OR(R48="Nein",R48="NEIN",R48="nein",R48="Oon",R48="NON",R48="non"),0%,
IF(R48&lt;&gt;0,
IF(S48&gt;=R48,R48/S48,
IF(S48&lt;R48,S48/R48)),
0%)))</f>
        <v>0</v>
      </c>
      <c r="U48" s="474">
        <v>0.7</v>
      </c>
      <c r="V48" s="475">
        <v>0.9</v>
      </c>
      <c r="W48" s="476" t="str">
        <f t="shared" si="34"/>
        <v/>
      </c>
      <c r="X48" s="179"/>
    </row>
    <row r="49" spans="2:24" ht="15.6" x14ac:dyDescent="0.3">
      <c r="B49" s="466">
        <v>6</v>
      </c>
      <c r="C49" s="1059"/>
      <c r="D49" s="1052" t="s">
        <v>1920</v>
      </c>
      <c r="E49" s="1067"/>
      <c r="F49" s="470" t="str">
        <f>IF(E49&lt;&gt;"","?","")</f>
        <v/>
      </c>
      <c r="G49" s="1063"/>
      <c r="H49" s="1063"/>
      <c r="I49" s="1064">
        <f>IF(OR(G49="Ja",G49="JA",G49="ja",G49="Oui",G49="OUI",G49="oui"),100%,
IF(OR(G49="Nein",G49="NEIN",G49="nein",G49="Oon",G49="NON",G49="non"),0%,
IF(G49&lt;&gt;0,
IF(H49&gt;=G49,G49/H49,
IF(H49&lt;G49,H49/G49)),
0%)))</f>
        <v>0</v>
      </c>
      <c r="J49" s="1069">
        <v>0.7</v>
      </c>
      <c r="K49" s="1071">
        <v>0.9</v>
      </c>
      <c r="L49" s="1073" t="str">
        <f>IF(E49="","",IF(I49&lt;=J49,3,IF(I49&lt;=K49,2,1)))</f>
        <v/>
      </c>
      <c r="M49" s="383" t="s">
        <v>1941</v>
      </c>
      <c r="N49" s="471"/>
      <c r="O49" s="383" t="s">
        <v>638</v>
      </c>
      <c r="P49" s="471"/>
      <c r="Q49" s="471" t="str">
        <f t="shared" si="33"/>
        <v/>
      </c>
      <c r="R49" s="472"/>
      <c r="S49" s="472"/>
      <c r="T49" s="473">
        <f t="shared" si="35"/>
        <v>0</v>
      </c>
      <c r="U49" s="474">
        <v>0.7</v>
      </c>
      <c r="V49" s="475">
        <v>0.9</v>
      </c>
      <c r="W49" s="476" t="str">
        <f>IF(P49="","",IF(T49&lt;=U49,3,IF(T49&lt;=V49,2,1)))</f>
        <v/>
      </c>
      <c r="X49" s="179"/>
    </row>
    <row r="50" spans="2:24" ht="15.6" x14ac:dyDescent="0.3">
      <c r="B50" s="466">
        <v>6</v>
      </c>
      <c r="C50" s="1059"/>
      <c r="D50" s="1052"/>
      <c r="E50" s="1067"/>
      <c r="F50" s="477"/>
      <c r="G50" s="1063"/>
      <c r="H50" s="1063"/>
      <c r="I50" s="1064"/>
      <c r="J50" s="1070"/>
      <c r="K50" s="1072"/>
      <c r="L50" s="1073"/>
      <c r="M50" s="383" t="s">
        <v>1942</v>
      </c>
      <c r="N50" s="471"/>
      <c r="O50" s="383" t="s">
        <v>639</v>
      </c>
      <c r="P50" s="471"/>
      <c r="Q50" s="471" t="str">
        <f t="shared" si="33"/>
        <v/>
      </c>
      <c r="R50" s="472"/>
      <c r="S50" s="472"/>
      <c r="T50" s="473">
        <f t="shared" si="35"/>
        <v>0</v>
      </c>
      <c r="U50" s="474">
        <v>0.7</v>
      </c>
      <c r="V50" s="475">
        <v>0.9</v>
      </c>
      <c r="W50" s="476" t="str">
        <f t="shared" ref="W50:W54" si="36">IF(P50="","",IF(T50&lt;=U50,3,IF(T50&lt;=V50,2,1)))</f>
        <v/>
      </c>
      <c r="X50" s="179"/>
    </row>
    <row r="51" spans="2:24" ht="15.6" x14ac:dyDescent="0.3">
      <c r="B51" s="466">
        <v>6</v>
      </c>
      <c r="C51" s="1059"/>
      <c r="D51" s="1052" t="s">
        <v>1921</v>
      </c>
      <c r="E51" s="1066"/>
      <c r="F51" s="470" t="str">
        <f>IF(E51&lt;&gt;"","?","")</f>
        <v/>
      </c>
      <c r="G51" s="1063"/>
      <c r="H51" s="1063"/>
      <c r="I51" s="1064">
        <f t="shared" ref="I51" si="37">IF(OR(G51="Ja",G51="JA",G51="ja",G51="Oui",G51="OUI",G51="oui"),100%,
IF(OR(G51="Nein",G51="NEIN",G51="nein",G51="Oon",G51="NON",G51="non"),0%,
IF(G51&lt;&gt;0,
IF(H51&gt;=G51,G51/H51,
IF(H51&lt;G51,H51/G51)),
0%)))</f>
        <v>0</v>
      </c>
      <c r="J51" s="1069">
        <v>0.7</v>
      </c>
      <c r="K51" s="1071">
        <v>0.9</v>
      </c>
      <c r="L51" s="1073" t="str">
        <f>IF(E51="","",IF(I51&lt;=J51,3,IF(I51&lt;=K51,2,1)))</f>
        <v/>
      </c>
      <c r="M51" s="383" t="s">
        <v>1943</v>
      </c>
      <c r="N51" s="471"/>
      <c r="O51" s="383" t="s">
        <v>641</v>
      </c>
      <c r="P51" s="471"/>
      <c r="Q51" s="471" t="str">
        <f t="shared" si="33"/>
        <v/>
      </c>
      <c r="R51" s="472"/>
      <c r="S51" s="472"/>
      <c r="T51" s="473">
        <f t="shared" si="35"/>
        <v>0</v>
      </c>
      <c r="U51" s="474">
        <v>0.7</v>
      </c>
      <c r="V51" s="475">
        <v>0.9</v>
      </c>
      <c r="W51" s="476" t="str">
        <f t="shared" si="36"/>
        <v/>
      </c>
      <c r="X51" s="179"/>
    </row>
    <row r="52" spans="2:24" ht="15.6" x14ac:dyDescent="0.3">
      <c r="B52" s="466">
        <v>6</v>
      </c>
      <c r="C52" s="1059"/>
      <c r="D52" s="1052"/>
      <c r="E52" s="1067"/>
      <c r="F52" s="477"/>
      <c r="G52" s="1063"/>
      <c r="H52" s="1063"/>
      <c r="I52" s="1064"/>
      <c r="J52" s="1070"/>
      <c r="K52" s="1072"/>
      <c r="L52" s="1073"/>
      <c r="M52" s="383" t="s">
        <v>1944</v>
      </c>
      <c r="N52" s="471"/>
      <c r="O52" s="383" t="s">
        <v>642</v>
      </c>
      <c r="P52" s="471"/>
      <c r="Q52" s="471" t="str">
        <f t="shared" si="33"/>
        <v/>
      </c>
      <c r="R52" s="472"/>
      <c r="S52" s="472"/>
      <c r="T52" s="473">
        <f t="shared" si="35"/>
        <v>0</v>
      </c>
      <c r="U52" s="474">
        <v>0.7</v>
      </c>
      <c r="V52" s="475">
        <v>0.9</v>
      </c>
      <c r="W52" s="476" t="str">
        <f t="shared" si="36"/>
        <v/>
      </c>
      <c r="X52" s="179"/>
    </row>
    <row r="53" spans="2:24" ht="15.6" x14ac:dyDescent="0.3">
      <c r="B53" s="466">
        <v>6</v>
      </c>
      <c r="C53" s="1059"/>
      <c r="D53" s="1052" t="s">
        <v>1922</v>
      </c>
      <c r="E53" s="1067"/>
      <c r="F53" s="470" t="str">
        <f>IF(E53&lt;&gt;"","?","")</f>
        <v/>
      </c>
      <c r="G53" s="1063"/>
      <c r="H53" s="1063"/>
      <c r="I53" s="1064">
        <f t="shared" ref="I53" si="38">IF(OR(G53="Ja",G53="JA",G53="ja",G53="Oui",G53="OUI",G53="oui"),100%,
IF(OR(G53="Nein",G53="NEIN",G53="nein",G53="Oon",G53="NON",G53="non"),0%,
IF(G53&lt;&gt;0,
IF(H53&gt;=G53,G53/H53,
IF(H53&lt;G53,H53/G53)),
0%)))</f>
        <v>0</v>
      </c>
      <c r="J53" s="1069">
        <v>0.7</v>
      </c>
      <c r="K53" s="1071">
        <v>0.9</v>
      </c>
      <c r="L53" s="1073" t="str">
        <f>IF(E53="","",IF(I53&lt;=J53,3,IF(I53&lt;=K53,2,1)))</f>
        <v/>
      </c>
      <c r="M53" s="383" t="s">
        <v>1945</v>
      </c>
      <c r="N53" s="471"/>
      <c r="O53" s="383" t="s">
        <v>644</v>
      </c>
      <c r="P53" s="471"/>
      <c r="Q53" s="471" t="str">
        <f t="shared" si="33"/>
        <v/>
      </c>
      <c r="R53" s="472"/>
      <c r="S53" s="472"/>
      <c r="T53" s="473">
        <f t="shared" si="35"/>
        <v>0</v>
      </c>
      <c r="U53" s="474">
        <v>0.7</v>
      </c>
      <c r="V53" s="475">
        <v>0.9</v>
      </c>
      <c r="W53" s="476" t="str">
        <f t="shared" si="36"/>
        <v/>
      </c>
      <c r="X53" s="179"/>
    </row>
    <row r="54" spans="2:24" ht="15.6" x14ac:dyDescent="0.3">
      <c r="B54" s="466">
        <v>6</v>
      </c>
      <c r="C54" s="1059"/>
      <c r="D54" s="1052"/>
      <c r="E54" s="1067"/>
      <c r="F54" s="478"/>
      <c r="G54" s="1063"/>
      <c r="H54" s="1063"/>
      <c r="I54" s="1074"/>
      <c r="J54" s="1070"/>
      <c r="K54" s="1072"/>
      <c r="L54" s="1073"/>
      <c r="M54" s="383" t="s">
        <v>1946</v>
      </c>
      <c r="N54" s="471"/>
      <c r="O54" s="383" t="s">
        <v>645</v>
      </c>
      <c r="P54" s="471"/>
      <c r="Q54" s="471" t="str">
        <f t="shared" si="33"/>
        <v/>
      </c>
      <c r="R54" s="472"/>
      <c r="S54" s="472"/>
      <c r="T54" s="473">
        <f t="shared" si="35"/>
        <v>0</v>
      </c>
      <c r="U54" s="474">
        <v>0.7</v>
      </c>
      <c r="V54" s="475">
        <v>0.9</v>
      </c>
      <c r="W54" s="476" t="str">
        <f t="shared" si="36"/>
        <v/>
      </c>
      <c r="X54" s="179"/>
    </row>
    <row r="55" spans="2:24" ht="15.6" x14ac:dyDescent="0.3">
      <c r="B55" s="458">
        <v>7</v>
      </c>
      <c r="C55" s="1065">
        <v>7</v>
      </c>
      <c r="D55" s="1052" t="s">
        <v>1923</v>
      </c>
      <c r="E55" s="1053"/>
      <c r="F55" s="459" t="str">
        <f>IF(E55&lt;&gt;"","?","")</f>
        <v/>
      </c>
      <c r="G55" s="1055"/>
      <c r="H55" s="1046"/>
      <c r="I55" s="1047">
        <f>IF(OR(G55="Ja",G55="JA",G55="ja",G55="Oui",G55="OUI",G55="oui"),100%,
IF(OR(G55="Nein",G55="NEIN",G55="nein",G55="Oon",G55="NON",G55="non"),0%,
IF(G55&lt;&gt;0,
IF(H55&gt;=G55,G55/H55,
IF(H55&lt;G55,H55/G55)),
0%)))</f>
        <v>0</v>
      </c>
      <c r="J55" s="1048">
        <v>0.7</v>
      </c>
      <c r="K55" s="1050">
        <v>0.9</v>
      </c>
      <c r="L55" s="1057" t="str">
        <f>IF(E55="","",IF(I55&lt;=J55,3,IF(I55&lt;=K55,2,1)))</f>
        <v/>
      </c>
      <c r="M55" s="383" t="s">
        <v>1947</v>
      </c>
      <c r="N55" s="460"/>
      <c r="O55" s="383" t="s">
        <v>647</v>
      </c>
      <c r="P55" s="460"/>
      <c r="Q55" s="460" t="str">
        <f t="shared" ref="Q55:Q62" si="39">IF(P55&lt;&gt;"","?","")</f>
        <v/>
      </c>
      <c r="R55" s="479"/>
      <c r="S55" s="479"/>
      <c r="T55" s="480">
        <f>IF(OR(R55="Ja",R55="JA",R55="ja",R55="Oui",R55="OUI",R55="oui"),100%,
IF(OR(R55="Nein",R55="NEIN",R55="nein",R55="Oon",R55="NON",R55="non"),0%,
IF(R55&lt;&gt;0,
IF(S55&gt;=R55,R55/S55,
IF(S55&lt;R55,S55/R55)),
0%)))</f>
        <v>0</v>
      </c>
      <c r="U55" s="463">
        <v>0.7</v>
      </c>
      <c r="V55" s="464">
        <v>0.9</v>
      </c>
      <c r="W55" s="481" t="str">
        <f t="shared" ref="W55:W56" si="40">IF(P55="","",IF(T55&lt;=U55,3,IF(T55&lt;=V55,2,1)))</f>
        <v/>
      </c>
      <c r="X55" s="179"/>
    </row>
    <row r="56" spans="2:24" ht="15.6" x14ac:dyDescent="0.3">
      <c r="B56" s="466">
        <v>7</v>
      </c>
      <c r="C56" s="1065"/>
      <c r="D56" s="1052"/>
      <c r="E56" s="1054"/>
      <c r="F56" s="467"/>
      <c r="G56" s="1056"/>
      <c r="H56" s="1046"/>
      <c r="I56" s="1047"/>
      <c r="J56" s="1049"/>
      <c r="K56" s="1051"/>
      <c r="L56" s="1057"/>
      <c r="M56" s="383" t="s">
        <v>1948</v>
      </c>
      <c r="N56" s="460"/>
      <c r="O56" s="383" t="s">
        <v>648</v>
      </c>
      <c r="P56" s="460"/>
      <c r="Q56" s="460" t="str">
        <f t="shared" si="39"/>
        <v/>
      </c>
      <c r="R56" s="479"/>
      <c r="S56" s="479"/>
      <c r="T56" s="480">
        <f t="shared" ref="T56:T62" si="41">IF(OR(R56="Ja",R56="JA",R56="ja",R56="Oui",R56="OUI",R56="oui"),100%,
IF(OR(R56="Nein",R56="NEIN",R56="nein",R56="Oon",R56="NON",R56="non"),0%,
IF(R56&lt;&gt;0,
IF(S56&gt;=R56,R56/S56,
IF(S56&lt;R56,S56/R56)),
0%)))</f>
        <v>0</v>
      </c>
      <c r="U56" s="463">
        <v>0.7</v>
      </c>
      <c r="V56" s="464">
        <v>0.9</v>
      </c>
      <c r="W56" s="481" t="str">
        <f t="shared" si="40"/>
        <v/>
      </c>
      <c r="X56" s="179"/>
    </row>
    <row r="57" spans="2:24" ht="15.6" x14ac:dyDescent="0.3">
      <c r="B57" s="466">
        <v>7</v>
      </c>
      <c r="C57" s="1065"/>
      <c r="D57" s="1052" t="s">
        <v>1924</v>
      </c>
      <c r="E57" s="1060"/>
      <c r="F57" s="459" t="str">
        <f>IF(E57&lt;&gt;"","?","")</f>
        <v/>
      </c>
      <c r="G57" s="1046"/>
      <c r="H57" s="1046"/>
      <c r="I57" s="1047">
        <f>IF(OR(G57="Ja",G57="JA",G57="ja",G57="Oui",G57="OUI",G57="oui"),100%,
IF(OR(G57="Nein",G57="NEIN",G57="nein",G57="Oon",G57="NON",G57="non"),0%,
IF(G57&lt;&gt;0,
IF(H57&gt;=G57,G57/H57,
IF(H57&lt;G57,H57/G57)),
0%)))</f>
        <v>0</v>
      </c>
      <c r="J57" s="1048">
        <v>0.7</v>
      </c>
      <c r="K57" s="1050">
        <v>0.9</v>
      </c>
      <c r="L57" s="1057" t="str">
        <f>IF(E57="","",IF(I57&lt;=J57,3,IF(I57&lt;=K57,2,1)))</f>
        <v/>
      </c>
      <c r="M57" s="383" t="s">
        <v>1949</v>
      </c>
      <c r="N57" s="460"/>
      <c r="O57" s="383" t="s">
        <v>650</v>
      </c>
      <c r="P57" s="460"/>
      <c r="Q57" s="460" t="str">
        <f t="shared" si="39"/>
        <v/>
      </c>
      <c r="R57" s="479"/>
      <c r="S57" s="479"/>
      <c r="T57" s="480">
        <f t="shared" si="41"/>
        <v>0</v>
      </c>
      <c r="U57" s="463">
        <v>0.7</v>
      </c>
      <c r="V57" s="464">
        <v>0.9</v>
      </c>
      <c r="W57" s="481" t="str">
        <f>IF(P57="","",IF(T57&lt;=U57,3,IF(T57&lt;=V57,2,1)))</f>
        <v/>
      </c>
      <c r="X57" s="179"/>
    </row>
    <row r="58" spans="2:24" ht="15.6" x14ac:dyDescent="0.3">
      <c r="B58" s="466">
        <v>7</v>
      </c>
      <c r="C58" s="1065"/>
      <c r="D58" s="1052"/>
      <c r="E58" s="1060"/>
      <c r="F58" s="467"/>
      <c r="G58" s="1046"/>
      <c r="H58" s="1046"/>
      <c r="I58" s="1047"/>
      <c r="J58" s="1049"/>
      <c r="K58" s="1051"/>
      <c r="L58" s="1057"/>
      <c r="M58" s="383" t="s">
        <v>1950</v>
      </c>
      <c r="N58" s="460"/>
      <c r="O58" s="383" t="s">
        <v>651</v>
      </c>
      <c r="P58" s="460"/>
      <c r="Q58" s="460" t="str">
        <f t="shared" si="39"/>
        <v/>
      </c>
      <c r="R58" s="479"/>
      <c r="S58" s="479"/>
      <c r="T58" s="480">
        <f t="shared" si="41"/>
        <v>0</v>
      </c>
      <c r="U58" s="463">
        <v>0.7</v>
      </c>
      <c r="V58" s="464">
        <v>0.9</v>
      </c>
      <c r="W58" s="481" t="str">
        <f t="shared" ref="W58:W62" si="42">IF(P58="","",IF(T58&lt;=U58,3,IF(T58&lt;=V58,2,1)))</f>
        <v/>
      </c>
      <c r="X58" s="179"/>
    </row>
    <row r="59" spans="2:24" ht="15.6" x14ac:dyDescent="0.3">
      <c r="B59" s="466">
        <v>7</v>
      </c>
      <c r="C59" s="1065"/>
      <c r="D59" s="1052" t="s">
        <v>1925</v>
      </c>
      <c r="E59" s="1068"/>
      <c r="F59" s="459" t="str">
        <f>IF(E59&lt;&gt;"","?","")</f>
        <v/>
      </c>
      <c r="G59" s="1046"/>
      <c r="H59" s="1046"/>
      <c r="I59" s="1047">
        <f t="shared" ref="I59" si="43">IF(OR(G59="Ja",G59="JA",G59="ja",G59="Oui",G59="OUI",G59="oui"),100%,
IF(OR(G59="Nein",G59="NEIN",G59="nein",G59="Oon",G59="NON",G59="non"),0%,
IF(G59&lt;&gt;0,
IF(H59&gt;=G59,G59/H59,
IF(H59&lt;G59,H59/G59)),
0%)))</f>
        <v>0</v>
      </c>
      <c r="J59" s="1048">
        <v>0.7</v>
      </c>
      <c r="K59" s="1050">
        <v>0.9</v>
      </c>
      <c r="L59" s="1057" t="str">
        <f>IF(E59="","",IF(I59&lt;=J59,3,IF(I59&lt;=K59,2,1)))</f>
        <v/>
      </c>
      <c r="M59" s="383" t="s">
        <v>1951</v>
      </c>
      <c r="N59" s="460"/>
      <c r="O59" s="383" t="s">
        <v>653</v>
      </c>
      <c r="P59" s="460"/>
      <c r="Q59" s="460" t="str">
        <f t="shared" si="39"/>
        <v/>
      </c>
      <c r="R59" s="479"/>
      <c r="S59" s="479"/>
      <c r="T59" s="480">
        <f t="shared" si="41"/>
        <v>0</v>
      </c>
      <c r="U59" s="463">
        <v>0.7</v>
      </c>
      <c r="V59" s="464">
        <v>0.9</v>
      </c>
      <c r="W59" s="481" t="str">
        <f t="shared" si="42"/>
        <v/>
      </c>
      <c r="X59" s="179"/>
    </row>
    <row r="60" spans="2:24" ht="15.6" x14ac:dyDescent="0.3">
      <c r="B60" s="466">
        <v>7</v>
      </c>
      <c r="C60" s="1065"/>
      <c r="D60" s="1052"/>
      <c r="E60" s="1060"/>
      <c r="F60" s="467"/>
      <c r="G60" s="1046"/>
      <c r="H60" s="1046"/>
      <c r="I60" s="1047"/>
      <c r="J60" s="1049"/>
      <c r="K60" s="1051"/>
      <c r="L60" s="1057"/>
      <c r="M60" s="383" t="s">
        <v>1952</v>
      </c>
      <c r="N60" s="460"/>
      <c r="O60" s="383" t="s">
        <v>654</v>
      </c>
      <c r="P60" s="460"/>
      <c r="Q60" s="460" t="str">
        <f t="shared" si="39"/>
        <v/>
      </c>
      <c r="R60" s="479"/>
      <c r="S60" s="479"/>
      <c r="T60" s="480">
        <f t="shared" si="41"/>
        <v>0</v>
      </c>
      <c r="U60" s="463">
        <v>0.7</v>
      </c>
      <c r="V60" s="464">
        <v>0.9</v>
      </c>
      <c r="W60" s="481" t="str">
        <f t="shared" si="42"/>
        <v/>
      </c>
      <c r="X60" s="179"/>
    </row>
    <row r="61" spans="2:24" ht="15.6" x14ac:dyDescent="0.3">
      <c r="B61" s="466">
        <v>7</v>
      </c>
      <c r="C61" s="1065"/>
      <c r="D61" s="1052" t="s">
        <v>1926</v>
      </c>
      <c r="E61" s="1060"/>
      <c r="F61" s="459" t="str">
        <f>IF(E61&lt;&gt;"","?","")</f>
        <v/>
      </c>
      <c r="G61" s="1046"/>
      <c r="H61" s="1046"/>
      <c r="I61" s="1047">
        <f t="shared" ref="I61" si="44">IF(OR(G61="Ja",G61="JA",G61="ja",G61="Oui",G61="OUI",G61="oui"),100%,
IF(OR(G61="Nein",G61="NEIN",G61="nein",G61="Oon",G61="NON",G61="non"),0%,
IF(G61&lt;&gt;0,
IF(H61&gt;=G61,G61/H61,
IF(H61&lt;G61,H61/G61)),
0%)))</f>
        <v>0</v>
      </c>
      <c r="J61" s="1048">
        <v>0.7</v>
      </c>
      <c r="K61" s="1050">
        <v>0.9</v>
      </c>
      <c r="L61" s="1057" t="str">
        <f>IF(E61="","",IF(I61&lt;=J61,3,IF(I61&lt;=K61,2,1)))</f>
        <v/>
      </c>
      <c r="M61" s="383" t="s">
        <v>1953</v>
      </c>
      <c r="N61" s="460"/>
      <c r="O61" s="383" t="s">
        <v>656</v>
      </c>
      <c r="P61" s="460"/>
      <c r="Q61" s="460" t="str">
        <f t="shared" si="39"/>
        <v/>
      </c>
      <c r="R61" s="479"/>
      <c r="S61" s="479"/>
      <c r="T61" s="480">
        <f t="shared" si="41"/>
        <v>0</v>
      </c>
      <c r="U61" s="463">
        <v>0.7</v>
      </c>
      <c r="V61" s="464">
        <v>0.9</v>
      </c>
      <c r="W61" s="481" t="str">
        <f t="shared" si="42"/>
        <v/>
      </c>
      <c r="X61" s="179"/>
    </row>
    <row r="62" spans="2:24" ht="15.6" x14ac:dyDescent="0.3">
      <c r="B62" s="466">
        <v>7</v>
      </c>
      <c r="C62" s="1065"/>
      <c r="D62" s="1052"/>
      <c r="E62" s="1060"/>
      <c r="F62" s="469"/>
      <c r="G62" s="1046"/>
      <c r="H62" s="1046"/>
      <c r="I62" s="1058"/>
      <c r="J62" s="1049"/>
      <c r="K62" s="1051"/>
      <c r="L62" s="1057"/>
      <c r="M62" s="383" t="s">
        <v>1954</v>
      </c>
      <c r="N62" s="460"/>
      <c r="O62" s="383" t="s">
        <v>657</v>
      </c>
      <c r="P62" s="460"/>
      <c r="Q62" s="460" t="str">
        <f t="shared" si="39"/>
        <v/>
      </c>
      <c r="R62" s="479"/>
      <c r="S62" s="479"/>
      <c r="T62" s="480">
        <f t="shared" si="41"/>
        <v>0</v>
      </c>
      <c r="U62" s="463">
        <v>0.7</v>
      </c>
      <c r="V62" s="464">
        <v>0.9</v>
      </c>
      <c r="W62" s="481" t="str">
        <f t="shared" si="42"/>
        <v/>
      </c>
      <c r="X62" s="179"/>
    </row>
    <row r="63" spans="2:24" ht="15.6" x14ac:dyDescent="0.3">
      <c r="B63" s="458">
        <v>8</v>
      </c>
      <c r="C63" s="1059">
        <v>8</v>
      </c>
      <c r="D63" s="1052" t="s">
        <v>1927</v>
      </c>
      <c r="E63" s="1075"/>
      <c r="F63" s="470" t="str">
        <f>IF(E63&lt;&gt;"","?","")</f>
        <v/>
      </c>
      <c r="G63" s="1061"/>
      <c r="H63" s="1063"/>
      <c r="I63" s="1064">
        <f>IF(OR(G63="Ja",G63="JA",G63="ja",G63="Oui",G63="OUI",G63="oui"),100%,
IF(OR(G63="Nein",G63="NEIN",G63="nein",G63="Oon",G63="NON",G63="non"),0%,
IF(G63&lt;&gt;0,
IF(H63&gt;=G63,G63/H63,
IF(H63&lt;G63,H63/G63)),
0%)))</f>
        <v>0</v>
      </c>
      <c r="J63" s="1069">
        <v>0.7</v>
      </c>
      <c r="K63" s="1071">
        <v>0.9</v>
      </c>
      <c r="L63" s="1073" t="str">
        <f>IF(E63="","",IF(I63&lt;=J63,3,IF(I63&lt;=K63,2,1)))</f>
        <v/>
      </c>
      <c r="M63" s="383" t="s">
        <v>1955</v>
      </c>
      <c r="N63" s="471"/>
      <c r="O63" s="383" t="s">
        <v>659</v>
      </c>
      <c r="P63" s="471"/>
      <c r="Q63" s="471" t="str">
        <f t="shared" ref="Q63:Q70" si="45">IF(P63&lt;&gt;"","?","")</f>
        <v/>
      </c>
      <c r="R63" s="482"/>
      <c r="S63" s="482"/>
      <c r="T63" s="483">
        <f>IF(OR(R63="Ja",R63="JA",R63="ja",R63="Oui",R63="OUI",R63="oui"),100%,
IF(OR(R63="Nein",R63="NEIN",R63="nein",R63="Oon",R63="NON",R63="non"),0%,
IF(R63&lt;&gt;0,
IF(S63&gt;=R63,R63/S63,
IF(S63&lt;R63,S63/R63)),
0%)))</f>
        <v>0</v>
      </c>
      <c r="U63" s="474">
        <v>0.7</v>
      </c>
      <c r="V63" s="484">
        <v>0.9</v>
      </c>
      <c r="W63" s="485" t="str">
        <f t="shared" ref="W63:W64" si="46">IF(P63="","",IF(T63&lt;=U63,3,IF(T63&lt;=V63,2,1)))</f>
        <v/>
      </c>
      <c r="X63" s="179"/>
    </row>
    <row r="64" spans="2:24" ht="15.6" x14ac:dyDescent="0.3">
      <c r="B64" s="466">
        <v>8</v>
      </c>
      <c r="C64" s="1059"/>
      <c r="D64" s="1052"/>
      <c r="E64" s="1076"/>
      <c r="F64" s="477"/>
      <c r="G64" s="1062"/>
      <c r="H64" s="1063"/>
      <c r="I64" s="1064"/>
      <c r="J64" s="1070"/>
      <c r="K64" s="1072"/>
      <c r="L64" s="1073"/>
      <c r="M64" s="383" t="s">
        <v>1956</v>
      </c>
      <c r="N64" s="471"/>
      <c r="O64" s="383" t="s">
        <v>660</v>
      </c>
      <c r="P64" s="471"/>
      <c r="Q64" s="471" t="str">
        <f t="shared" si="45"/>
        <v/>
      </c>
      <c r="R64" s="482"/>
      <c r="S64" s="482"/>
      <c r="T64" s="483">
        <f t="shared" ref="T64:T70" si="47">IF(OR(R64="Ja",R64="JA",R64="ja",R64="Oui",R64="OUI",R64="oui"),100%,
IF(OR(R64="Nein",R64="NEIN",R64="nein",R64="Oon",R64="NON",R64="non"),0%,
IF(R64&lt;&gt;0,
IF(S64&gt;=R64,R64/S64,
IF(S64&lt;R64,S64/R64)),
0%)))</f>
        <v>0</v>
      </c>
      <c r="U64" s="474">
        <v>0.7</v>
      </c>
      <c r="V64" s="484">
        <v>0.9</v>
      </c>
      <c r="W64" s="485" t="str">
        <f t="shared" si="46"/>
        <v/>
      </c>
      <c r="X64" s="179"/>
    </row>
    <row r="65" spans="2:24" ht="15.6" x14ac:dyDescent="0.3">
      <c r="B65" s="466">
        <v>8</v>
      </c>
      <c r="C65" s="1059"/>
      <c r="D65" s="1052" t="s">
        <v>1928</v>
      </c>
      <c r="E65" s="1067"/>
      <c r="F65" s="470" t="str">
        <f>IF(E65&lt;&gt;"","?","")</f>
        <v/>
      </c>
      <c r="G65" s="1063"/>
      <c r="H65" s="1063"/>
      <c r="I65" s="1064">
        <f>IF(OR(G65="Ja",G65="JA",G65="ja",G65="Oui",G65="OUI",G65="oui"),100%,
IF(OR(G65="Nein",G65="NEIN",G65="nein",G65="Oon",G65="NON",G65="non"),0%,
IF(G65&lt;&gt;0,
IF(H65&gt;=G65,G65/H65,
IF(H65&lt;G65,H65/G65)),
0%)))</f>
        <v>0</v>
      </c>
      <c r="J65" s="1069">
        <v>0.7</v>
      </c>
      <c r="K65" s="1071">
        <v>0.9</v>
      </c>
      <c r="L65" s="1073" t="str">
        <f>IF(E65="","",IF(I65&lt;=J65,3,IF(I65&lt;=K65,2,1)))</f>
        <v/>
      </c>
      <c r="M65" s="383" t="s">
        <v>1957</v>
      </c>
      <c r="N65" s="471"/>
      <c r="O65" s="383" t="s">
        <v>662</v>
      </c>
      <c r="P65" s="471"/>
      <c r="Q65" s="471" t="str">
        <f t="shared" si="45"/>
        <v/>
      </c>
      <c r="R65" s="482"/>
      <c r="S65" s="482"/>
      <c r="T65" s="483">
        <f t="shared" si="47"/>
        <v>0</v>
      </c>
      <c r="U65" s="474">
        <v>0.7</v>
      </c>
      <c r="V65" s="484">
        <v>0.9</v>
      </c>
      <c r="W65" s="485" t="str">
        <f>IF(P65="","",IF(T65&lt;=U65,3,IF(T65&lt;=V65,2,1)))</f>
        <v/>
      </c>
      <c r="X65" s="179"/>
    </row>
    <row r="66" spans="2:24" ht="15.6" x14ac:dyDescent="0.3">
      <c r="B66" s="466">
        <v>8</v>
      </c>
      <c r="C66" s="1059"/>
      <c r="D66" s="1052"/>
      <c r="E66" s="1067"/>
      <c r="F66" s="477"/>
      <c r="G66" s="1063"/>
      <c r="H66" s="1063"/>
      <c r="I66" s="1064"/>
      <c r="J66" s="1070"/>
      <c r="K66" s="1072"/>
      <c r="L66" s="1073"/>
      <c r="M66" s="383" t="s">
        <v>1958</v>
      </c>
      <c r="N66" s="471"/>
      <c r="O66" s="383" t="s">
        <v>663</v>
      </c>
      <c r="P66" s="471"/>
      <c r="Q66" s="471" t="str">
        <f t="shared" si="45"/>
        <v/>
      </c>
      <c r="R66" s="482"/>
      <c r="S66" s="482"/>
      <c r="T66" s="483">
        <f t="shared" si="47"/>
        <v>0</v>
      </c>
      <c r="U66" s="474">
        <v>0.7</v>
      </c>
      <c r="V66" s="484">
        <v>0.9</v>
      </c>
      <c r="W66" s="485" t="str">
        <f t="shared" ref="W66:W70" si="48">IF(P66="","",IF(T66&lt;=U66,3,IF(T66&lt;=V66,2,1)))</f>
        <v/>
      </c>
      <c r="X66" s="179"/>
    </row>
    <row r="67" spans="2:24" ht="15.6" x14ac:dyDescent="0.3">
      <c r="B67" s="466">
        <v>8</v>
      </c>
      <c r="C67" s="1059"/>
      <c r="D67" s="1052" t="s">
        <v>1929</v>
      </c>
      <c r="E67" s="1066"/>
      <c r="F67" s="470" t="str">
        <f>IF(E67&lt;&gt;"","?","")</f>
        <v/>
      </c>
      <c r="G67" s="1063"/>
      <c r="H67" s="1063"/>
      <c r="I67" s="1064">
        <f t="shared" ref="I67" si="49">IF(OR(G67="Ja",G67="JA",G67="ja",G67="Oui",G67="OUI",G67="oui"),100%,
IF(OR(G67="Nein",G67="NEIN",G67="nein",G67="Oon",G67="NON",G67="non"),0%,
IF(G67&lt;&gt;0,
IF(H67&gt;=G67,G67/H67,
IF(H67&lt;G67,H67/G67)),
0%)))</f>
        <v>0</v>
      </c>
      <c r="J67" s="1069">
        <v>0.7</v>
      </c>
      <c r="K67" s="1071">
        <v>0.9</v>
      </c>
      <c r="L67" s="1073" t="str">
        <f>IF(E67="","",IF(I67&lt;=J67,3,IF(I67&lt;=K67,2,1)))</f>
        <v/>
      </c>
      <c r="M67" s="383" t="s">
        <v>1959</v>
      </c>
      <c r="N67" s="471"/>
      <c r="O67" s="383" t="s">
        <v>665</v>
      </c>
      <c r="P67" s="471"/>
      <c r="Q67" s="471" t="str">
        <f t="shared" si="45"/>
        <v/>
      </c>
      <c r="R67" s="482"/>
      <c r="S67" s="482"/>
      <c r="T67" s="483">
        <f t="shared" si="47"/>
        <v>0</v>
      </c>
      <c r="U67" s="474">
        <v>0.7</v>
      </c>
      <c r="V67" s="484">
        <v>0.9</v>
      </c>
      <c r="W67" s="485" t="str">
        <f t="shared" si="48"/>
        <v/>
      </c>
      <c r="X67" s="179"/>
    </row>
    <row r="68" spans="2:24" ht="15.6" x14ac:dyDescent="0.3">
      <c r="B68" s="466">
        <v>8</v>
      </c>
      <c r="C68" s="1059"/>
      <c r="D68" s="1052"/>
      <c r="E68" s="1067"/>
      <c r="F68" s="477"/>
      <c r="G68" s="1063"/>
      <c r="H68" s="1063"/>
      <c r="I68" s="1064"/>
      <c r="J68" s="1070"/>
      <c r="K68" s="1072"/>
      <c r="L68" s="1073"/>
      <c r="M68" s="383" t="s">
        <v>1960</v>
      </c>
      <c r="N68" s="471"/>
      <c r="O68" s="383" t="s">
        <v>666</v>
      </c>
      <c r="P68" s="471"/>
      <c r="Q68" s="471" t="str">
        <f t="shared" si="45"/>
        <v/>
      </c>
      <c r="R68" s="482"/>
      <c r="S68" s="482"/>
      <c r="T68" s="483">
        <f t="shared" si="47"/>
        <v>0</v>
      </c>
      <c r="U68" s="474">
        <v>0.7</v>
      </c>
      <c r="V68" s="484">
        <v>0.9</v>
      </c>
      <c r="W68" s="485" t="str">
        <f t="shared" si="48"/>
        <v/>
      </c>
      <c r="X68" s="179"/>
    </row>
    <row r="69" spans="2:24" ht="15.6" x14ac:dyDescent="0.3">
      <c r="B69" s="466">
        <v>8</v>
      </c>
      <c r="C69" s="1059"/>
      <c r="D69" s="1052" t="s">
        <v>1930</v>
      </c>
      <c r="E69" s="1067"/>
      <c r="F69" s="470" t="str">
        <f>IF(E69&lt;&gt;"","?","")</f>
        <v/>
      </c>
      <c r="G69" s="1063"/>
      <c r="H69" s="1063"/>
      <c r="I69" s="1064">
        <f t="shared" ref="I69" si="50">IF(OR(G69="Ja",G69="JA",G69="ja",G69="Oui",G69="OUI",G69="oui"),100%,
IF(OR(G69="Nein",G69="NEIN",G69="nein",G69="Oon",G69="NON",G69="non"),0%,
IF(G69&lt;&gt;0,
IF(H69&gt;=G69,G69/H69,
IF(H69&lt;G69,H69/G69)),
0%)))</f>
        <v>0</v>
      </c>
      <c r="J69" s="1069">
        <v>0.7</v>
      </c>
      <c r="K69" s="1071">
        <v>0.9</v>
      </c>
      <c r="L69" s="1073" t="str">
        <f>IF(E69="","",IF(I69&lt;=J69,3,IF(I69&lt;=K69,2,1)))</f>
        <v/>
      </c>
      <c r="M69" s="383" t="s">
        <v>1961</v>
      </c>
      <c r="N69" s="471"/>
      <c r="O69" s="383" t="s">
        <v>668</v>
      </c>
      <c r="P69" s="471"/>
      <c r="Q69" s="471" t="str">
        <f t="shared" si="45"/>
        <v/>
      </c>
      <c r="R69" s="482"/>
      <c r="S69" s="482"/>
      <c r="T69" s="483">
        <f t="shared" si="47"/>
        <v>0</v>
      </c>
      <c r="U69" s="474">
        <v>0.7</v>
      </c>
      <c r="V69" s="484">
        <v>0.9</v>
      </c>
      <c r="W69" s="485" t="str">
        <f t="shared" si="48"/>
        <v/>
      </c>
      <c r="X69" s="179"/>
    </row>
    <row r="70" spans="2:24" ht="15.6" x14ac:dyDescent="0.3">
      <c r="B70" s="466">
        <v>8</v>
      </c>
      <c r="C70" s="1059"/>
      <c r="D70" s="1052"/>
      <c r="E70" s="1067"/>
      <c r="F70" s="478"/>
      <c r="G70" s="1063"/>
      <c r="H70" s="1063"/>
      <c r="I70" s="1074"/>
      <c r="J70" s="1070"/>
      <c r="K70" s="1072"/>
      <c r="L70" s="1073"/>
      <c r="M70" s="383" t="s">
        <v>1962</v>
      </c>
      <c r="N70" s="471"/>
      <c r="O70" s="383" t="s">
        <v>669</v>
      </c>
      <c r="P70" s="471"/>
      <c r="Q70" s="471" t="str">
        <f t="shared" si="45"/>
        <v/>
      </c>
      <c r="R70" s="482"/>
      <c r="S70" s="482"/>
      <c r="T70" s="483">
        <f t="shared" si="47"/>
        <v>0</v>
      </c>
      <c r="U70" s="474">
        <v>0.7</v>
      </c>
      <c r="V70" s="484">
        <v>0.9</v>
      </c>
      <c r="W70" s="485" t="str">
        <f t="shared" si="48"/>
        <v/>
      </c>
      <c r="X70" s="179"/>
    </row>
    <row r="71" spans="2:24" ht="15.6" x14ac:dyDescent="0.3">
      <c r="B71" s="458">
        <v>9</v>
      </c>
      <c r="C71" s="1065">
        <v>9</v>
      </c>
      <c r="D71" s="1052" t="s">
        <v>1931</v>
      </c>
      <c r="E71" s="1053"/>
      <c r="F71" s="459" t="str">
        <f>IF(E71&lt;&gt;"","?","")</f>
        <v/>
      </c>
      <c r="G71" s="1055"/>
      <c r="H71" s="1046"/>
      <c r="I71" s="1047">
        <f>IF(OR(G71="Ja",G71="JA",G71="ja",G71="Oui",G71="OUI",G71="oui"),100%,
IF(OR(G71="Nein",G71="NEIN",G71="nein",G71="Oon",G71="NON",G71="non"),0%,
IF(G71&lt;&gt;0,
IF(H71&gt;=G71,G71/H71,
IF(H71&lt;G71,H71/G71)),
0%)))</f>
        <v>0</v>
      </c>
      <c r="J71" s="1048">
        <v>0.7</v>
      </c>
      <c r="K71" s="1050">
        <v>0.9</v>
      </c>
      <c r="L71" s="1057" t="str">
        <f>IF(E71="","",IF(I71&lt;=J71,3,IF(I71&lt;=K71,2,1)))</f>
        <v/>
      </c>
      <c r="M71" s="383" t="s">
        <v>1963</v>
      </c>
      <c r="N71" s="460"/>
      <c r="O71" s="383" t="s">
        <v>671</v>
      </c>
      <c r="P71" s="460"/>
      <c r="Q71" s="460" t="str">
        <f t="shared" ref="Q71:Q78" si="51">IF(P71&lt;&gt;"","?","")</f>
        <v/>
      </c>
      <c r="R71" s="479"/>
      <c r="S71" s="479"/>
      <c r="T71" s="480">
        <f>IF(OR(R71="Ja",R71="JA",R71="ja",R71="Oui",R71="OUI",R71="oui"),100%,
IF(OR(R71="Nein",R71="NEIN",R71="nein",R71="Oon",R71="NON",R71="non"),0%,
IF(R71&lt;&gt;0,
IF(S71&gt;=R71,R71/S71,
IF(S71&lt;R71,S71/R71)),
0%)))</f>
        <v>0</v>
      </c>
      <c r="U71" s="463">
        <v>0.7</v>
      </c>
      <c r="V71" s="464">
        <v>0.9</v>
      </c>
      <c r="W71" s="481" t="str">
        <f t="shared" ref="W71:W72" si="52">IF(P71="","",IF(T71&lt;=U71,3,IF(T71&lt;=V71,2,1)))</f>
        <v/>
      </c>
      <c r="X71" s="179"/>
    </row>
    <row r="72" spans="2:24" ht="15.6" x14ac:dyDescent="0.3">
      <c r="B72" s="466">
        <v>9</v>
      </c>
      <c r="C72" s="1065"/>
      <c r="D72" s="1052"/>
      <c r="E72" s="1054"/>
      <c r="F72" s="467"/>
      <c r="G72" s="1056"/>
      <c r="H72" s="1046"/>
      <c r="I72" s="1047"/>
      <c r="J72" s="1049"/>
      <c r="K72" s="1051"/>
      <c r="L72" s="1057"/>
      <c r="M72" s="383" t="s">
        <v>1964</v>
      </c>
      <c r="N72" s="460"/>
      <c r="O72" s="383" t="s">
        <v>672</v>
      </c>
      <c r="P72" s="460"/>
      <c r="Q72" s="460" t="str">
        <f t="shared" si="51"/>
        <v/>
      </c>
      <c r="R72" s="479"/>
      <c r="S72" s="479"/>
      <c r="T72" s="480">
        <f t="shared" ref="T72:T78" si="53">IF(OR(R72="Ja",R72="JA",R72="ja",R72="Oui",R72="OUI",R72="oui"),100%,
IF(OR(R72="Nein",R72="NEIN",R72="nein",R72="Oon",R72="NON",R72="non"),0%,
IF(R72&lt;&gt;0,
IF(S72&gt;=R72,R72/S72,
IF(S72&lt;R72,S72/R72)),
0%)))</f>
        <v>0</v>
      </c>
      <c r="U72" s="463">
        <v>0.7</v>
      </c>
      <c r="V72" s="464">
        <v>0.9</v>
      </c>
      <c r="W72" s="481" t="str">
        <f t="shared" si="52"/>
        <v/>
      </c>
      <c r="X72" s="179"/>
    </row>
    <row r="73" spans="2:24" ht="15.6" x14ac:dyDescent="0.3">
      <c r="B73" s="466">
        <v>9</v>
      </c>
      <c r="C73" s="1065"/>
      <c r="D73" s="1052" t="s">
        <v>1932</v>
      </c>
      <c r="E73" s="1060"/>
      <c r="F73" s="459" t="str">
        <f>IF(E73&lt;&gt;"","?","")</f>
        <v/>
      </c>
      <c r="G73" s="1046"/>
      <c r="H73" s="1046"/>
      <c r="I73" s="1047">
        <f>IF(OR(G73="Ja",G73="JA",G73="ja",G73="Oui",G73="OUI",G73="oui"),100%,
IF(OR(G73="Nein",G73="NEIN",G73="nein",G73="Oon",G73="NON",G73="non"),0%,
IF(G73&lt;&gt;0,
IF(H73&gt;=G73,G73/H73,
IF(H73&lt;G73,H73/G73)),
0%)))</f>
        <v>0</v>
      </c>
      <c r="J73" s="1048">
        <v>0.7</v>
      </c>
      <c r="K73" s="1050">
        <v>0.9</v>
      </c>
      <c r="L73" s="1057" t="str">
        <f>IF(E73="","",IF(I73&lt;=J73,3,IF(I73&lt;=K73,2,1)))</f>
        <v/>
      </c>
      <c r="M73" s="383" t="s">
        <v>1965</v>
      </c>
      <c r="N73" s="460"/>
      <c r="O73" s="383" t="s">
        <v>674</v>
      </c>
      <c r="P73" s="460"/>
      <c r="Q73" s="460" t="str">
        <f t="shared" si="51"/>
        <v/>
      </c>
      <c r="R73" s="479"/>
      <c r="S73" s="479"/>
      <c r="T73" s="480">
        <f t="shared" si="53"/>
        <v>0</v>
      </c>
      <c r="U73" s="463">
        <v>0.7</v>
      </c>
      <c r="V73" s="464">
        <v>0.9</v>
      </c>
      <c r="W73" s="481" t="str">
        <f>IF(P73="","",IF(T73&lt;=U73,3,IF(T73&lt;=V73,2,1)))</f>
        <v/>
      </c>
      <c r="X73" s="179"/>
    </row>
    <row r="74" spans="2:24" ht="15.6" x14ac:dyDescent="0.3">
      <c r="B74" s="466">
        <v>9</v>
      </c>
      <c r="C74" s="1065"/>
      <c r="D74" s="1052"/>
      <c r="E74" s="1060"/>
      <c r="F74" s="467"/>
      <c r="G74" s="1046"/>
      <c r="H74" s="1046"/>
      <c r="I74" s="1047"/>
      <c r="J74" s="1049"/>
      <c r="K74" s="1051"/>
      <c r="L74" s="1057"/>
      <c r="M74" s="383" t="s">
        <v>1966</v>
      </c>
      <c r="N74" s="460"/>
      <c r="O74" s="383" t="s">
        <v>675</v>
      </c>
      <c r="P74" s="460"/>
      <c r="Q74" s="460" t="str">
        <f t="shared" si="51"/>
        <v/>
      </c>
      <c r="R74" s="479"/>
      <c r="S74" s="479"/>
      <c r="T74" s="480">
        <f t="shared" si="53"/>
        <v>0</v>
      </c>
      <c r="U74" s="463">
        <v>0.7</v>
      </c>
      <c r="V74" s="464">
        <v>0.9</v>
      </c>
      <c r="W74" s="481" t="str">
        <f t="shared" ref="W74:W78" si="54">IF(P74="","",IF(T74&lt;=U74,3,IF(T74&lt;=V74,2,1)))</f>
        <v/>
      </c>
      <c r="X74" s="179"/>
    </row>
    <row r="75" spans="2:24" ht="15.6" x14ac:dyDescent="0.3">
      <c r="B75" s="466">
        <v>9</v>
      </c>
      <c r="C75" s="1065"/>
      <c r="D75" s="1052" t="s">
        <v>1933</v>
      </c>
      <c r="E75" s="1068"/>
      <c r="F75" s="459" t="str">
        <f>IF(E75&lt;&gt;"","?","")</f>
        <v/>
      </c>
      <c r="G75" s="1046"/>
      <c r="H75" s="1046"/>
      <c r="I75" s="1047">
        <f t="shared" ref="I75" si="55">IF(OR(G75="Ja",G75="JA",G75="ja",G75="Oui",G75="OUI",G75="oui"),100%,
IF(OR(G75="Nein",G75="NEIN",G75="nein",G75="Oon",G75="NON",G75="non"),0%,
IF(G75&lt;&gt;0,
IF(H75&gt;=G75,G75/H75,
IF(H75&lt;G75,H75/G75)),
0%)))</f>
        <v>0</v>
      </c>
      <c r="J75" s="1048">
        <v>0.7</v>
      </c>
      <c r="K75" s="1050">
        <v>0.9</v>
      </c>
      <c r="L75" s="1057" t="str">
        <f>IF(E75="","",IF(I75&lt;=J75,3,IF(I75&lt;=K75,2,1)))</f>
        <v/>
      </c>
      <c r="M75" s="383" t="s">
        <v>1967</v>
      </c>
      <c r="N75" s="460"/>
      <c r="O75" s="383" t="s">
        <v>677</v>
      </c>
      <c r="P75" s="460"/>
      <c r="Q75" s="460" t="str">
        <f t="shared" si="51"/>
        <v/>
      </c>
      <c r="R75" s="479"/>
      <c r="S75" s="479"/>
      <c r="T75" s="480">
        <f t="shared" si="53"/>
        <v>0</v>
      </c>
      <c r="U75" s="463">
        <v>0.7</v>
      </c>
      <c r="V75" s="464">
        <v>0.9</v>
      </c>
      <c r="W75" s="481" t="str">
        <f t="shared" si="54"/>
        <v/>
      </c>
      <c r="X75" s="179"/>
    </row>
    <row r="76" spans="2:24" ht="15.6" x14ac:dyDescent="0.3">
      <c r="B76" s="466">
        <v>9</v>
      </c>
      <c r="C76" s="1065"/>
      <c r="D76" s="1052"/>
      <c r="E76" s="1060"/>
      <c r="F76" s="467"/>
      <c r="G76" s="1046"/>
      <c r="H76" s="1046"/>
      <c r="I76" s="1047"/>
      <c r="J76" s="1049"/>
      <c r="K76" s="1051"/>
      <c r="L76" s="1057"/>
      <c r="M76" s="383" t="s">
        <v>1968</v>
      </c>
      <c r="N76" s="460"/>
      <c r="O76" s="383" t="s">
        <v>678</v>
      </c>
      <c r="P76" s="460"/>
      <c r="Q76" s="460" t="str">
        <f t="shared" si="51"/>
        <v/>
      </c>
      <c r="R76" s="479"/>
      <c r="S76" s="479"/>
      <c r="T76" s="480">
        <f t="shared" si="53"/>
        <v>0</v>
      </c>
      <c r="U76" s="463">
        <v>0.7</v>
      </c>
      <c r="V76" s="464">
        <v>0.9</v>
      </c>
      <c r="W76" s="481" t="str">
        <f t="shared" si="54"/>
        <v/>
      </c>
      <c r="X76" s="179"/>
    </row>
    <row r="77" spans="2:24" ht="15.6" x14ac:dyDescent="0.3">
      <c r="B77" s="466">
        <v>9</v>
      </c>
      <c r="C77" s="1065"/>
      <c r="D77" s="1052" t="s">
        <v>1934</v>
      </c>
      <c r="E77" s="1060"/>
      <c r="F77" s="459" t="str">
        <f>IF(E77&lt;&gt;"","?","")</f>
        <v/>
      </c>
      <c r="G77" s="1046"/>
      <c r="H77" s="1046"/>
      <c r="I77" s="1047">
        <f t="shared" ref="I77" si="56">IF(OR(G77="Ja",G77="JA",G77="ja",G77="Oui",G77="OUI",G77="oui"),100%,
IF(OR(G77="Nein",G77="NEIN",G77="nein",G77="Oon",G77="NON",G77="non"),0%,
IF(G77&lt;&gt;0,
IF(H77&gt;=G77,G77/H77,
IF(H77&lt;G77,H77/G77)),
0%)))</f>
        <v>0</v>
      </c>
      <c r="J77" s="1048">
        <v>0.7</v>
      </c>
      <c r="K77" s="1050">
        <v>0.9</v>
      </c>
      <c r="L77" s="1057" t="str">
        <f>IF(E77="","",IF(I77&lt;=J77,3,IF(I77&lt;=K77,2,1)))</f>
        <v/>
      </c>
      <c r="M77" s="383" t="s">
        <v>1969</v>
      </c>
      <c r="N77" s="460"/>
      <c r="O77" s="383" t="s">
        <v>680</v>
      </c>
      <c r="P77" s="460"/>
      <c r="Q77" s="460" t="str">
        <f t="shared" si="51"/>
        <v/>
      </c>
      <c r="R77" s="479"/>
      <c r="S77" s="479"/>
      <c r="T77" s="480">
        <f t="shared" si="53"/>
        <v>0</v>
      </c>
      <c r="U77" s="463">
        <v>0.7</v>
      </c>
      <c r="V77" s="464">
        <v>0.9</v>
      </c>
      <c r="W77" s="481" t="str">
        <f t="shared" si="54"/>
        <v/>
      </c>
      <c r="X77" s="179"/>
    </row>
    <row r="78" spans="2:24" ht="15.6" x14ac:dyDescent="0.3">
      <c r="B78" s="466">
        <v>9</v>
      </c>
      <c r="C78" s="1065"/>
      <c r="D78" s="1052"/>
      <c r="E78" s="1060"/>
      <c r="F78" s="469"/>
      <c r="G78" s="1046"/>
      <c r="H78" s="1046"/>
      <c r="I78" s="1058"/>
      <c r="J78" s="1049"/>
      <c r="K78" s="1051"/>
      <c r="L78" s="1057"/>
      <c r="M78" s="383" t="s">
        <v>1970</v>
      </c>
      <c r="N78" s="460"/>
      <c r="O78" s="383" t="s">
        <v>681</v>
      </c>
      <c r="P78" s="460"/>
      <c r="Q78" s="460" t="str">
        <f t="shared" si="51"/>
        <v/>
      </c>
      <c r="R78" s="479"/>
      <c r="S78" s="479"/>
      <c r="T78" s="480">
        <f t="shared" si="53"/>
        <v>0</v>
      </c>
      <c r="U78" s="463">
        <v>0.7</v>
      </c>
      <c r="V78" s="464">
        <v>0.9</v>
      </c>
      <c r="W78" s="481" t="str">
        <f t="shared" si="54"/>
        <v/>
      </c>
      <c r="X78" s="179"/>
    </row>
    <row r="79" spans="2:24" ht="15.6" x14ac:dyDescent="0.3">
      <c r="B79" s="458">
        <v>10</v>
      </c>
      <c r="C79" s="1059">
        <v>10</v>
      </c>
      <c r="D79" s="1052" t="s">
        <v>1935</v>
      </c>
      <c r="E79" s="1075"/>
      <c r="F79" s="470" t="str">
        <f>IF(E79&lt;&gt;"","?","")</f>
        <v/>
      </c>
      <c r="G79" s="1061"/>
      <c r="H79" s="1063"/>
      <c r="I79" s="1064">
        <f>IF(OR(G79="Ja",G79="JA",G79="ja",G79="Oui",G79="OUI",G79="oui"),100%,
IF(OR(G79="Nein",G79="NEIN",G79="nein",G79="Oon",G79="NON",G79="non"),0%,
IF(G79&lt;&gt;0,
IF(H79&gt;=G79,G79/H79,
IF(H79&lt;G79,H79/G79)),
0%)))</f>
        <v>0</v>
      </c>
      <c r="J79" s="1069">
        <v>0.7</v>
      </c>
      <c r="K79" s="1071">
        <v>0.9</v>
      </c>
      <c r="L79" s="1073" t="str">
        <f>IF(E79="","",IF(I79&lt;=J79,3,IF(I79&lt;=K79,2,1)))</f>
        <v/>
      </c>
      <c r="M79" s="383" t="s">
        <v>1971</v>
      </c>
      <c r="N79" s="471"/>
      <c r="O79" s="383" t="s">
        <v>683</v>
      </c>
      <c r="P79" s="471"/>
      <c r="Q79" s="471" t="str">
        <f t="shared" ref="Q79:Q86" si="57">IF(P79&lt;&gt;"","?","")</f>
        <v/>
      </c>
      <c r="R79" s="482"/>
      <c r="S79" s="482"/>
      <c r="T79" s="483">
        <f>IF(OR(R79="Ja",R79="JA",R79="ja",R79="Oui",R79="OUI",R79="oui"),100%,
IF(OR(R79="Nein",R79="NEIN",R79="nein",R79="Oon",R79="NON",R79="non"),0%,
IF(R79&lt;&gt;0,
IF(S79&gt;=R79,R79/S79,
IF(S79&lt;R79,S79/R79)),
0%)))</f>
        <v>0</v>
      </c>
      <c r="U79" s="474">
        <v>0.7</v>
      </c>
      <c r="V79" s="475">
        <v>0.9</v>
      </c>
      <c r="W79" s="485" t="str">
        <f t="shared" ref="W79:W80" si="58">IF(P79="","",IF(T79&lt;=U79,3,IF(T79&lt;=V79,2,1)))</f>
        <v/>
      </c>
      <c r="X79" s="179"/>
    </row>
    <row r="80" spans="2:24" ht="15.6" x14ac:dyDescent="0.3">
      <c r="B80" s="466">
        <v>10</v>
      </c>
      <c r="C80" s="1059"/>
      <c r="D80" s="1052"/>
      <c r="E80" s="1076"/>
      <c r="F80" s="477"/>
      <c r="G80" s="1062"/>
      <c r="H80" s="1063"/>
      <c r="I80" s="1064"/>
      <c r="J80" s="1070"/>
      <c r="K80" s="1072"/>
      <c r="L80" s="1073"/>
      <c r="M80" s="383" t="s">
        <v>1972</v>
      </c>
      <c r="N80" s="471"/>
      <c r="O80" s="383" t="s">
        <v>684</v>
      </c>
      <c r="P80" s="471"/>
      <c r="Q80" s="471" t="str">
        <f t="shared" si="57"/>
        <v/>
      </c>
      <c r="R80" s="482"/>
      <c r="S80" s="482"/>
      <c r="T80" s="483">
        <f t="shared" ref="T80:T86" si="59">IF(OR(R80="Ja",R80="JA",R80="ja",R80="Oui",R80="OUI",R80="oui"),100%,
IF(OR(R80="Nein",R80="NEIN",R80="nein",R80="Oon",R80="NON",R80="non"),0%,
IF(R80&lt;&gt;0,
IF(S80&gt;=R80,R80/S80,
IF(S80&lt;R80,S80/R80)),
0%)))</f>
        <v>0</v>
      </c>
      <c r="U80" s="474">
        <v>0.7</v>
      </c>
      <c r="V80" s="475">
        <v>0.9</v>
      </c>
      <c r="W80" s="485" t="str">
        <f t="shared" si="58"/>
        <v/>
      </c>
      <c r="X80" s="179"/>
    </row>
    <row r="81" spans="1:24" ht="15.6" x14ac:dyDescent="0.3">
      <c r="B81" s="466">
        <v>10</v>
      </c>
      <c r="C81" s="1059"/>
      <c r="D81" s="1052" t="s">
        <v>1936</v>
      </c>
      <c r="E81" s="1067"/>
      <c r="F81" s="470" t="str">
        <f>IF(E81&lt;&gt;"","?","")</f>
        <v/>
      </c>
      <c r="G81" s="1063"/>
      <c r="H81" s="1063"/>
      <c r="I81" s="1064">
        <f>IF(OR(G81="Ja",G81="JA",G81="ja",G81="Oui",G81="OUI",G81="oui"),100%,
IF(OR(G81="Nein",G81="NEIN",G81="nein",G81="Oon",G81="NON",G81="non"),0%,
IF(G81&lt;&gt;0,
IF(H81&gt;=G81,G81/H81,
IF(H81&lt;G81,H81/G81)),
0%)))</f>
        <v>0</v>
      </c>
      <c r="J81" s="1069">
        <v>0.7</v>
      </c>
      <c r="K81" s="1071">
        <v>0.9</v>
      </c>
      <c r="L81" s="1073" t="str">
        <f>IF(E81="","",IF(I81&lt;=J81,3,IF(I81&lt;=K81,2,1)))</f>
        <v/>
      </c>
      <c r="M81" s="383" t="s">
        <v>1973</v>
      </c>
      <c r="N81" s="471"/>
      <c r="O81" s="383" t="s">
        <v>686</v>
      </c>
      <c r="P81" s="471"/>
      <c r="Q81" s="471" t="str">
        <f t="shared" si="57"/>
        <v/>
      </c>
      <c r="R81" s="482"/>
      <c r="S81" s="482"/>
      <c r="T81" s="483">
        <f t="shared" si="59"/>
        <v>0</v>
      </c>
      <c r="U81" s="474">
        <v>0.7</v>
      </c>
      <c r="V81" s="475">
        <v>0.9</v>
      </c>
      <c r="W81" s="485" t="str">
        <f>IF(P81="","",IF(T81&lt;=U81,3,IF(T81&lt;=V81,2,1)))</f>
        <v/>
      </c>
      <c r="X81" s="179"/>
    </row>
    <row r="82" spans="1:24" ht="15.6" x14ac:dyDescent="0.3">
      <c r="B82" s="466">
        <v>10</v>
      </c>
      <c r="C82" s="1059"/>
      <c r="D82" s="1052"/>
      <c r="E82" s="1067"/>
      <c r="F82" s="477"/>
      <c r="G82" s="1063"/>
      <c r="H82" s="1063"/>
      <c r="I82" s="1064"/>
      <c r="J82" s="1070"/>
      <c r="K82" s="1072"/>
      <c r="L82" s="1073"/>
      <c r="M82" s="383" t="s">
        <v>1974</v>
      </c>
      <c r="N82" s="471"/>
      <c r="O82" s="383" t="s">
        <v>687</v>
      </c>
      <c r="P82" s="471"/>
      <c r="Q82" s="471" t="str">
        <f t="shared" si="57"/>
        <v/>
      </c>
      <c r="R82" s="482"/>
      <c r="S82" s="482"/>
      <c r="T82" s="483">
        <f t="shared" si="59"/>
        <v>0</v>
      </c>
      <c r="U82" s="474">
        <v>0.7</v>
      </c>
      <c r="V82" s="475">
        <v>0.9</v>
      </c>
      <c r="W82" s="485" t="str">
        <f t="shared" ref="W82:W86" si="60">IF(P82="","",IF(T82&lt;=U82,3,IF(T82&lt;=V82,2,1)))</f>
        <v/>
      </c>
      <c r="X82" s="179"/>
    </row>
    <row r="83" spans="1:24" ht="15.6" x14ac:dyDescent="0.3">
      <c r="B83" s="466">
        <v>10</v>
      </c>
      <c r="C83" s="1059"/>
      <c r="D83" s="1052" t="s">
        <v>1937</v>
      </c>
      <c r="E83" s="1066"/>
      <c r="F83" s="470" t="str">
        <f>IF(E83&lt;&gt;"","?","")</f>
        <v/>
      </c>
      <c r="G83" s="1063"/>
      <c r="H83" s="1063"/>
      <c r="I83" s="1064">
        <f t="shared" ref="I83" si="61">IF(OR(G83="Ja",G83="JA",G83="ja",G83="Oui",G83="OUI",G83="oui"),100%,
IF(OR(G83="Nein",G83="NEIN",G83="nein",G83="Oon",G83="NON",G83="non"),0%,
IF(G83&lt;&gt;0,
IF(H83&gt;=G83,G83/H83,
IF(H83&lt;G83,H83/G83)),
0%)))</f>
        <v>0</v>
      </c>
      <c r="J83" s="1069">
        <v>0.7</v>
      </c>
      <c r="K83" s="1071">
        <v>0.9</v>
      </c>
      <c r="L83" s="1073" t="str">
        <f>IF(E83="","",IF(I83&lt;=J83,3,IF(I83&lt;=K83,2,1)))</f>
        <v/>
      </c>
      <c r="M83" s="383" t="s">
        <v>1975</v>
      </c>
      <c r="N83" s="471"/>
      <c r="O83" s="383" t="s">
        <v>689</v>
      </c>
      <c r="P83" s="471"/>
      <c r="Q83" s="471" t="str">
        <f t="shared" si="57"/>
        <v/>
      </c>
      <c r="R83" s="482"/>
      <c r="S83" s="482"/>
      <c r="T83" s="483">
        <f t="shared" si="59"/>
        <v>0</v>
      </c>
      <c r="U83" s="474">
        <v>0.7</v>
      </c>
      <c r="V83" s="475">
        <v>0.9</v>
      </c>
      <c r="W83" s="485" t="str">
        <f t="shared" si="60"/>
        <v/>
      </c>
      <c r="X83" s="179"/>
    </row>
    <row r="84" spans="1:24" ht="15.6" x14ac:dyDescent="0.3">
      <c r="B84" s="466">
        <v>10</v>
      </c>
      <c r="C84" s="1059"/>
      <c r="D84" s="1052"/>
      <c r="E84" s="1067"/>
      <c r="F84" s="477"/>
      <c r="G84" s="1063"/>
      <c r="H84" s="1063"/>
      <c r="I84" s="1064"/>
      <c r="J84" s="1070"/>
      <c r="K84" s="1072"/>
      <c r="L84" s="1073"/>
      <c r="M84" s="383" t="s">
        <v>1976</v>
      </c>
      <c r="N84" s="471"/>
      <c r="O84" s="383" t="s">
        <v>690</v>
      </c>
      <c r="P84" s="471"/>
      <c r="Q84" s="471" t="str">
        <f t="shared" si="57"/>
        <v/>
      </c>
      <c r="R84" s="482"/>
      <c r="S84" s="482"/>
      <c r="T84" s="483">
        <f t="shared" si="59"/>
        <v>0</v>
      </c>
      <c r="U84" s="474">
        <v>0.7</v>
      </c>
      <c r="V84" s="475">
        <v>0.9</v>
      </c>
      <c r="W84" s="485" t="str">
        <f t="shared" si="60"/>
        <v/>
      </c>
      <c r="X84" s="179"/>
    </row>
    <row r="85" spans="1:24" ht="15.6" x14ac:dyDescent="0.3">
      <c r="B85" s="466">
        <v>10</v>
      </c>
      <c r="C85" s="1059"/>
      <c r="D85" s="1052" t="s">
        <v>1938</v>
      </c>
      <c r="E85" s="1067"/>
      <c r="F85" s="470" t="str">
        <f>IF(E85&lt;&gt;"","?","")</f>
        <v/>
      </c>
      <c r="G85" s="1063"/>
      <c r="H85" s="1063"/>
      <c r="I85" s="1064">
        <f t="shared" ref="I85" si="62">IF(OR(G85="Ja",G85="JA",G85="ja",G85="Oui",G85="OUI",G85="oui"),100%,
IF(OR(G85="Nein",G85="NEIN",G85="nein",G85="Oon",G85="NON",G85="non"),0%,
IF(G85&lt;&gt;0,
IF(H85&gt;=G85,G85/H85,
IF(H85&lt;G85,H85/G85)),
0%)))</f>
        <v>0</v>
      </c>
      <c r="J85" s="1069">
        <v>0.7</v>
      </c>
      <c r="K85" s="1071">
        <v>0.9</v>
      </c>
      <c r="L85" s="1073" t="str">
        <f>IF(E85="","",IF(I85&lt;=J85,3,IF(I85&lt;=K85,2,1)))</f>
        <v/>
      </c>
      <c r="M85" s="383" t="s">
        <v>1977</v>
      </c>
      <c r="N85" s="471"/>
      <c r="O85" s="383" t="s">
        <v>692</v>
      </c>
      <c r="P85" s="471"/>
      <c r="Q85" s="471" t="str">
        <f t="shared" si="57"/>
        <v/>
      </c>
      <c r="R85" s="482"/>
      <c r="S85" s="482"/>
      <c r="T85" s="483">
        <f t="shared" si="59"/>
        <v>0</v>
      </c>
      <c r="U85" s="474">
        <v>0.7</v>
      </c>
      <c r="V85" s="475">
        <v>0.9</v>
      </c>
      <c r="W85" s="485" t="str">
        <f t="shared" si="60"/>
        <v/>
      </c>
      <c r="X85" s="179"/>
    </row>
    <row r="86" spans="1:24" ht="15.6" x14ac:dyDescent="0.3">
      <c r="B86" s="466">
        <v>10</v>
      </c>
      <c r="C86" s="1059"/>
      <c r="D86" s="1052"/>
      <c r="E86" s="1067"/>
      <c r="F86" s="478"/>
      <c r="G86" s="1063"/>
      <c r="H86" s="1063"/>
      <c r="I86" s="1074"/>
      <c r="J86" s="1070"/>
      <c r="K86" s="1072"/>
      <c r="L86" s="1073"/>
      <c r="M86" s="383" t="s">
        <v>1978</v>
      </c>
      <c r="N86" s="471"/>
      <c r="O86" s="383" t="s">
        <v>693</v>
      </c>
      <c r="P86" s="471"/>
      <c r="Q86" s="471" t="str">
        <f t="shared" si="57"/>
        <v/>
      </c>
      <c r="R86" s="482"/>
      <c r="S86" s="482"/>
      <c r="T86" s="483">
        <f t="shared" si="59"/>
        <v>0</v>
      </c>
      <c r="U86" s="474">
        <v>0.7</v>
      </c>
      <c r="V86" s="475">
        <v>0.9</v>
      </c>
      <c r="W86" s="485" t="str">
        <f t="shared" si="60"/>
        <v/>
      </c>
      <c r="X86" s="179"/>
    </row>
    <row r="87" spans="1:24" ht="15.6" x14ac:dyDescent="0.3">
      <c r="A87" s="352" t="str">
        <f>IF($C$87="","","ok")</f>
        <v>ok</v>
      </c>
      <c r="C87" s="357" t="s">
        <v>2106</v>
      </c>
      <c r="H87" s="405"/>
      <c r="I87" s="405"/>
      <c r="J87" s="405"/>
      <c r="K87" s="405"/>
      <c r="L87" s="406"/>
      <c r="M87" s="401"/>
      <c r="N87" s="407"/>
      <c r="O87" s="486"/>
      <c r="P87" s="407"/>
      <c r="Q87" s="407"/>
      <c r="R87" s="405"/>
      <c r="S87" s="405"/>
      <c r="T87" s="405"/>
      <c r="U87" s="405"/>
      <c r="V87" s="405"/>
      <c r="W87" s="406"/>
    </row>
    <row r="88" spans="1:24" ht="18.75" customHeight="1" x14ac:dyDescent="0.3">
      <c r="H88" s="405"/>
      <c r="I88" s="405"/>
      <c r="J88" s="405"/>
      <c r="K88" s="405"/>
      <c r="L88" s="406"/>
      <c r="M88" s="401"/>
      <c r="N88" s="407"/>
      <c r="O88" s="486"/>
      <c r="P88" s="407"/>
      <c r="Q88" s="407"/>
      <c r="R88" s="405"/>
      <c r="S88" s="405"/>
      <c r="T88" s="405"/>
      <c r="U88" s="405"/>
      <c r="V88" s="405"/>
      <c r="W88" s="406"/>
    </row>
    <row r="89" spans="1:24" ht="18.75" customHeight="1" x14ac:dyDescent="0.3">
      <c r="H89" s="405"/>
      <c r="I89" s="405"/>
      <c r="J89" s="405"/>
      <c r="K89" s="405"/>
      <c r="L89" s="406"/>
      <c r="M89" s="401"/>
      <c r="N89" s="407"/>
      <c r="O89" s="486"/>
      <c r="P89" s="407"/>
      <c r="Q89" s="407"/>
      <c r="R89" s="405"/>
      <c r="S89" s="405"/>
      <c r="T89" s="405"/>
      <c r="U89" s="405"/>
      <c r="V89" s="405"/>
      <c r="W89" s="406"/>
    </row>
    <row r="90" spans="1:24" ht="18.75" customHeight="1" x14ac:dyDescent="0.3">
      <c r="H90" s="405"/>
      <c r="I90" s="405"/>
      <c r="J90" s="405"/>
      <c r="K90" s="405"/>
      <c r="L90" s="406"/>
      <c r="M90" s="401"/>
      <c r="N90" s="407"/>
      <c r="O90" s="486"/>
      <c r="P90" s="407"/>
      <c r="Q90" s="407"/>
      <c r="R90" s="405"/>
      <c r="S90" s="405"/>
      <c r="T90" s="405"/>
      <c r="U90" s="405"/>
      <c r="V90" s="405"/>
      <c r="W90" s="406"/>
    </row>
    <row r="91" spans="1:24" ht="18.75" customHeight="1" x14ac:dyDescent="0.3">
      <c r="H91" s="405"/>
      <c r="I91" s="405"/>
      <c r="J91" s="405"/>
      <c r="K91" s="405"/>
      <c r="L91" s="406"/>
      <c r="M91" s="401"/>
      <c r="N91" s="407"/>
      <c r="O91" s="486"/>
      <c r="P91" s="407"/>
      <c r="Q91" s="407"/>
      <c r="R91" s="405"/>
      <c r="S91" s="405"/>
      <c r="T91" s="405"/>
      <c r="U91" s="405"/>
      <c r="V91" s="405"/>
      <c r="W91" s="406"/>
    </row>
    <row r="92" spans="1:24" ht="18.75" customHeight="1" x14ac:dyDescent="0.3">
      <c r="H92" s="405"/>
      <c r="I92" s="405"/>
      <c r="J92" s="405"/>
      <c r="K92" s="405"/>
      <c r="L92" s="406"/>
      <c r="M92" s="401"/>
      <c r="N92" s="407"/>
      <c r="O92" s="486"/>
      <c r="P92" s="407"/>
      <c r="Q92" s="407"/>
      <c r="R92" s="405"/>
      <c r="S92" s="405"/>
      <c r="T92" s="405"/>
      <c r="U92" s="405"/>
      <c r="V92" s="405"/>
      <c r="W92" s="406"/>
    </row>
  </sheetData>
  <sheetProtection sheet="1" objects="1" scenarios="1" formatCells="0" formatColumns="0" formatRows="0" insertHyperlinks="0" selectLockedCells="1" sort="0" autoFilter="0"/>
  <autoFilter ref="A6:W87" xr:uid="{00000000-0009-0000-0000-000013000000}"/>
  <mergeCells count="330">
    <mergeCell ref="J85:J86"/>
    <mergeCell ref="K85:K86"/>
    <mergeCell ref="L85:L86"/>
    <mergeCell ref="L81:L82"/>
    <mergeCell ref="D83:D84"/>
    <mergeCell ref="E83:E84"/>
    <mergeCell ref="G83:G84"/>
    <mergeCell ref="H83:H84"/>
    <mergeCell ref="I83:I84"/>
    <mergeCell ref="J83:J84"/>
    <mergeCell ref="K83:K84"/>
    <mergeCell ref="L83:L84"/>
    <mergeCell ref="J79:J80"/>
    <mergeCell ref="K79:K80"/>
    <mergeCell ref="L79:L80"/>
    <mergeCell ref="D81:D82"/>
    <mergeCell ref="E81:E82"/>
    <mergeCell ref="G81:G82"/>
    <mergeCell ref="H81:H82"/>
    <mergeCell ref="I81:I82"/>
    <mergeCell ref="J81:J82"/>
    <mergeCell ref="K81:K82"/>
    <mergeCell ref="C79:C86"/>
    <mergeCell ref="D79:D80"/>
    <mergeCell ref="E79:E80"/>
    <mergeCell ref="G79:G80"/>
    <mergeCell ref="H79:H80"/>
    <mergeCell ref="I79:I80"/>
    <mergeCell ref="D85:D86"/>
    <mergeCell ref="E85:E86"/>
    <mergeCell ref="G85:G86"/>
    <mergeCell ref="H85:H86"/>
    <mergeCell ref="I85:I86"/>
    <mergeCell ref="I73:I74"/>
    <mergeCell ref="J73:J74"/>
    <mergeCell ref="K73:K74"/>
    <mergeCell ref="L73:L74"/>
    <mergeCell ref="K75:K76"/>
    <mergeCell ref="L75:L76"/>
    <mergeCell ref="D77:D78"/>
    <mergeCell ref="E77:E78"/>
    <mergeCell ref="G77:G78"/>
    <mergeCell ref="H77:H78"/>
    <mergeCell ref="I77:I78"/>
    <mergeCell ref="J77:J78"/>
    <mergeCell ref="K77:K78"/>
    <mergeCell ref="L77:L78"/>
    <mergeCell ref="D75:D76"/>
    <mergeCell ref="E75:E76"/>
    <mergeCell ref="G75:G76"/>
    <mergeCell ref="H75:H76"/>
    <mergeCell ref="I75:I76"/>
    <mergeCell ref="J75:J76"/>
    <mergeCell ref="J67:J68"/>
    <mergeCell ref="K67:K68"/>
    <mergeCell ref="L67:L68"/>
    <mergeCell ref="K69:K70"/>
    <mergeCell ref="L69:L70"/>
    <mergeCell ref="C71:C78"/>
    <mergeCell ref="D71:D72"/>
    <mergeCell ref="E71:E72"/>
    <mergeCell ref="G71:G72"/>
    <mergeCell ref="H71:H72"/>
    <mergeCell ref="I71:I72"/>
    <mergeCell ref="J71:J72"/>
    <mergeCell ref="K71:K72"/>
    <mergeCell ref="D69:D70"/>
    <mergeCell ref="E69:E70"/>
    <mergeCell ref="G69:G70"/>
    <mergeCell ref="H69:H70"/>
    <mergeCell ref="I69:I70"/>
    <mergeCell ref="J69:J70"/>
    <mergeCell ref="L71:L72"/>
    <mergeCell ref="D73:D74"/>
    <mergeCell ref="E73:E74"/>
    <mergeCell ref="G73:G74"/>
    <mergeCell ref="H73:H74"/>
    <mergeCell ref="J63:J64"/>
    <mergeCell ref="K63:K64"/>
    <mergeCell ref="L63:L64"/>
    <mergeCell ref="D65:D66"/>
    <mergeCell ref="E65:E66"/>
    <mergeCell ref="G65:G66"/>
    <mergeCell ref="H65:H66"/>
    <mergeCell ref="I65:I66"/>
    <mergeCell ref="J65:J66"/>
    <mergeCell ref="K65:K66"/>
    <mergeCell ref="L65:L66"/>
    <mergeCell ref="C63:C70"/>
    <mergeCell ref="D63:D64"/>
    <mergeCell ref="E63:E64"/>
    <mergeCell ref="G63:G64"/>
    <mergeCell ref="H63:H64"/>
    <mergeCell ref="I63:I64"/>
    <mergeCell ref="C55:C62"/>
    <mergeCell ref="D61:D62"/>
    <mergeCell ref="E61:E62"/>
    <mergeCell ref="G61:G62"/>
    <mergeCell ref="H61:H62"/>
    <mergeCell ref="D67:D68"/>
    <mergeCell ref="E67:E68"/>
    <mergeCell ref="G67:G68"/>
    <mergeCell ref="H67:H68"/>
    <mergeCell ref="I67:I68"/>
    <mergeCell ref="D59:D60"/>
    <mergeCell ref="E59:E60"/>
    <mergeCell ref="G59:G60"/>
    <mergeCell ref="H59:H60"/>
    <mergeCell ref="I59:I60"/>
    <mergeCell ref="D57:D58"/>
    <mergeCell ref="E57:E58"/>
    <mergeCell ref="G57:G58"/>
    <mergeCell ref="J59:J60"/>
    <mergeCell ref="K59:K60"/>
    <mergeCell ref="L59:L60"/>
    <mergeCell ref="I61:I62"/>
    <mergeCell ref="J61:J62"/>
    <mergeCell ref="K61:K62"/>
    <mergeCell ref="L61:L62"/>
    <mergeCell ref="J55:J56"/>
    <mergeCell ref="K55:K56"/>
    <mergeCell ref="L55:L56"/>
    <mergeCell ref="L57:L58"/>
    <mergeCell ref="H57:H58"/>
    <mergeCell ref="I57:I58"/>
    <mergeCell ref="J57:J58"/>
    <mergeCell ref="K57:K58"/>
    <mergeCell ref="D55:D56"/>
    <mergeCell ref="E55:E56"/>
    <mergeCell ref="G55:G56"/>
    <mergeCell ref="H55:H56"/>
    <mergeCell ref="I55:I56"/>
    <mergeCell ref="I49:I50"/>
    <mergeCell ref="J49:J50"/>
    <mergeCell ref="K49:K50"/>
    <mergeCell ref="L49:L50"/>
    <mergeCell ref="K51:K52"/>
    <mergeCell ref="L51:L52"/>
    <mergeCell ref="D53:D54"/>
    <mergeCell ref="E53:E54"/>
    <mergeCell ref="G53:G54"/>
    <mergeCell ref="H53:H54"/>
    <mergeCell ref="I53:I54"/>
    <mergeCell ref="J53:J54"/>
    <mergeCell ref="K53:K54"/>
    <mergeCell ref="L53:L54"/>
    <mergeCell ref="D51:D52"/>
    <mergeCell ref="E51:E52"/>
    <mergeCell ref="G51:G52"/>
    <mergeCell ref="H51:H52"/>
    <mergeCell ref="I51:I52"/>
    <mergeCell ref="J51:J52"/>
    <mergeCell ref="J43:J44"/>
    <mergeCell ref="K43:K44"/>
    <mergeCell ref="L43:L44"/>
    <mergeCell ref="K45:K46"/>
    <mergeCell ref="L45:L46"/>
    <mergeCell ref="C47:C54"/>
    <mergeCell ref="D47:D48"/>
    <mergeCell ref="E47:E48"/>
    <mergeCell ref="G47:G48"/>
    <mergeCell ref="H47:H48"/>
    <mergeCell ref="I47:I48"/>
    <mergeCell ref="J47:J48"/>
    <mergeCell ref="K47:K48"/>
    <mergeCell ref="D45:D46"/>
    <mergeCell ref="E45:E46"/>
    <mergeCell ref="G45:G46"/>
    <mergeCell ref="H45:H46"/>
    <mergeCell ref="I45:I46"/>
    <mergeCell ref="J45:J46"/>
    <mergeCell ref="L47:L48"/>
    <mergeCell ref="D49:D50"/>
    <mergeCell ref="E49:E50"/>
    <mergeCell ref="G49:G50"/>
    <mergeCell ref="H49:H50"/>
    <mergeCell ref="J39:J40"/>
    <mergeCell ref="K39:K40"/>
    <mergeCell ref="L39:L40"/>
    <mergeCell ref="D41:D42"/>
    <mergeCell ref="E41:E42"/>
    <mergeCell ref="G41:G42"/>
    <mergeCell ref="H41:H42"/>
    <mergeCell ref="I41:I42"/>
    <mergeCell ref="J41:J42"/>
    <mergeCell ref="K41:K42"/>
    <mergeCell ref="L41:L42"/>
    <mergeCell ref="C39:C46"/>
    <mergeCell ref="D39:D40"/>
    <mergeCell ref="E39:E40"/>
    <mergeCell ref="G39:G40"/>
    <mergeCell ref="H39:H40"/>
    <mergeCell ref="I39:I40"/>
    <mergeCell ref="C31:C38"/>
    <mergeCell ref="D37:D38"/>
    <mergeCell ref="E37:E38"/>
    <mergeCell ref="G37:G38"/>
    <mergeCell ref="H37:H38"/>
    <mergeCell ref="D43:D44"/>
    <mergeCell ref="E43:E44"/>
    <mergeCell ref="G43:G44"/>
    <mergeCell ref="H43:H44"/>
    <mergeCell ref="I43:I44"/>
    <mergeCell ref="D35:D36"/>
    <mergeCell ref="E35:E36"/>
    <mergeCell ref="G35:G36"/>
    <mergeCell ref="H35:H36"/>
    <mergeCell ref="I35:I36"/>
    <mergeCell ref="D33:D34"/>
    <mergeCell ref="E33:E34"/>
    <mergeCell ref="G33:G34"/>
    <mergeCell ref="J35:J36"/>
    <mergeCell ref="K35:K36"/>
    <mergeCell ref="L35:L36"/>
    <mergeCell ref="I37:I38"/>
    <mergeCell ref="J37:J38"/>
    <mergeCell ref="K37:K38"/>
    <mergeCell ref="L37:L38"/>
    <mergeCell ref="J31:J32"/>
    <mergeCell ref="K31:K32"/>
    <mergeCell ref="L31:L32"/>
    <mergeCell ref="L33:L34"/>
    <mergeCell ref="H33:H34"/>
    <mergeCell ref="I33:I34"/>
    <mergeCell ref="J33:J34"/>
    <mergeCell ref="K33:K34"/>
    <mergeCell ref="D31:D32"/>
    <mergeCell ref="E31:E32"/>
    <mergeCell ref="G31:G32"/>
    <mergeCell ref="H31:H32"/>
    <mergeCell ref="I31:I32"/>
    <mergeCell ref="I25:I26"/>
    <mergeCell ref="J25:J26"/>
    <mergeCell ref="K25:K26"/>
    <mergeCell ref="L25:L26"/>
    <mergeCell ref="K27:K28"/>
    <mergeCell ref="L27:L28"/>
    <mergeCell ref="D29:D30"/>
    <mergeCell ref="E29:E30"/>
    <mergeCell ref="G29:G30"/>
    <mergeCell ref="H29:H30"/>
    <mergeCell ref="I29:I30"/>
    <mergeCell ref="J29:J30"/>
    <mergeCell ref="K29:K30"/>
    <mergeCell ref="L29:L30"/>
    <mergeCell ref="D27:D28"/>
    <mergeCell ref="E27:E28"/>
    <mergeCell ref="G27:G28"/>
    <mergeCell ref="H27:H28"/>
    <mergeCell ref="I27:I28"/>
    <mergeCell ref="J27:J28"/>
    <mergeCell ref="J19:J20"/>
    <mergeCell ref="K19:K20"/>
    <mergeCell ref="L19:L20"/>
    <mergeCell ref="K21:K22"/>
    <mergeCell ref="L21:L22"/>
    <mergeCell ref="C23:C30"/>
    <mergeCell ref="D23:D24"/>
    <mergeCell ref="E23:E24"/>
    <mergeCell ref="G23:G24"/>
    <mergeCell ref="H23:H24"/>
    <mergeCell ref="I23:I24"/>
    <mergeCell ref="J23:J24"/>
    <mergeCell ref="K23:K24"/>
    <mergeCell ref="D21:D22"/>
    <mergeCell ref="E21:E22"/>
    <mergeCell ref="G21:G22"/>
    <mergeCell ref="H21:H22"/>
    <mergeCell ref="I21:I22"/>
    <mergeCell ref="J21:J22"/>
    <mergeCell ref="L23:L24"/>
    <mergeCell ref="D25:D26"/>
    <mergeCell ref="E25:E26"/>
    <mergeCell ref="G25:G26"/>
    <mergeCell ref="H25:H26"/>
    <mergeCell ref="J15:J16"/>
    <mergeCell ref="K15:K16"/>
    <mergeCell ref="L15:L16"/>
    <mergeCell ref="D17:D18"/>
    <mergeCell ref="E17:E18"/>
    <mergeCell ref="G17:G18"/>
    <mergeCell ref="H17:H18"/>
    <mergeCell ref="I17:I18"/>
    <mergeCell ref="J17:J18"/>
    <mergeCell ref="K17:K18"/>
    <mergeCell ref="L17:L18"/>
    <mergeCell ref="C15:C22"/>
    <mergeCell ref="D15:D16"/>
    <mergeCell ref="E15:E16"/>
    <mergeCell ref="G15:G16"/>
    <mergeCell ref="H15:H16"/>
    <mergeCell ref="I15:I16"/>
    <mergeCell ref="C7:C14"/>
    <mergeCell ref="D13:D14"/>
    <mergeCell ref="E13:E14"/>
    <mergeCell ref="G13:G14"/>
    <mergeCell ref="H13:H14"/>
    <mergeCell ref="D19:D20"/>
    <mergeCell ref="E19:E20"/>
    <mergeCell ref="G19:G20"/>
    <mergeCell ref="H19:H20"/>
    <mergeCell ref="I19:I20"/>
    <mergeCell ref="D11:D12"/>
    <mergeCell ref="E11:E12"/>
    <mergeCell ref="G11:G12"/>
    <mergeCell ref="H11:H12"/>
    <mergeCell ref="I11:I12"/>
    <mergeCell ref="D9:D10"/>
    <mergeCell ref="E9:E10"/>
    <mergeCell ref="G9:G10"/>
    <mergeCell ref="J11:J12"/>
    <mergeCell ref="K11:K12"/>
    <mergeCell ref="L11:L12"/>
    <mergeCell ref="I13:I14"/>
    <mergeCell ref="J13:J14"/>
    <mergeCell ref="K13:K14"/>
    <mergeCell ref="L13:L14"/>
    <mergeCell ref="J7:J8"/>
    <mergeCell ref="K7:K8"/>
    <mergeCell ref="L7:L8"/>
    <mergeCell ref="L9:L10"/>
    <mergeCell ref="H9:H10"/>
    <mergeCell ref="I9:I10"/>
    <mergeCell ref="J9:J10"/>
    <mergeCell ref="K9:K10"/>
    <mergeCell ref="D7:D8"/>
    <mergeCell ref="E7:E8"/>
    <mergeCell ref="G7:G8"/>
    <mergeCell ref="H7:H8"/>
    <mergeCell ref="I7:I8"/>
  </mergeCells>
  <conditionalFormatting sqref="C7:C86 E7:I86 L7:L86">
    <cfRule type="expression" dxfId="90" priority="11">
      <formula>$B7=1</formula>
    </cfRule>
    <cfRule type="expression" dxfId="89" priority="12">
      <formula>$B7=2</formula>
    </cfRule>
    <cfRule type="expression" dxfId="88" priority="13">
      <formula>$B7=3</formula>
    </cfRule>
    <cfRule type="expression" dxfId="87" priority="14">
      <formula>$B7=4</formula>
    </cfRule>
    <cfRule type="expression" dxfId="86" priority="15">
      <formula>$B7=5</formula>
    </cfRule>
    <cfRule type="expression" dxfId="85" priority="16">
      <formula>$B7=6</formula>
    </cfRule>
    <cfRule type="expression" dxfId="84" priority="17">
      <formula>$B7=7</formula>
    </cfRule>
    <cfRule type="expression" dxfId="83" priority="18">
      <formula>$B7=8</formula>
    </cfRule>
    <cfRule type="expression" dxfId="82" priority="19">
      <formula>$B7=9</formula>
    </cfRule>
    <cfRule type="expression" dxfId="81" priority="20">
      <formula>$B7=10</formula>
    </cfRule>
  </conditionalFormatting>
  <conditionalFormatting sqref="N7:N86 P7:T86 W7:W86">
    <cfRule type="expression" dxfId="80" priority="1">
      <formula>$B7=1</formula>
    </cfRule>
    <cfRule type="expression" dxfId="79" priority="2">
      <formula>$B7=2</formula>
    </cfRule>
    <cfRule type="expression" dxfId="78" priority="3">
      <formula>$B7=3</formula>
    </cfRule>
    <cfRule type="expression" dxfId="77" priority="4">
      <formula>$B7=4</formula>
    </cfRule>
    <cfRule type="expression" dxfId="76" priority="5">
      <formula>$B7=5</formula>
    </cfRule>
    <cfRule type="expression" dxfId="75" priority="6">
      <formula>$B7=6</formula>
    </cfRule>
    <cfRule type="expression" dxfId="74" priority="7">
      <formula>$B7=7</formula>
    </cfRule>
    <cfRule type="expression" dxfId="73" priority="8">
      <formula>$B7=8</formula>
    </cfRule>
    <cfRule type="expression" dxfId="72" priority="9">
      <formula>$B7=9</formula>
    </cfRule>
    <cfRule type="expression" dxfId="71" priority="10">
      <formula>$B7=10</formula>
    </cfRule>
  </conditionalFormatting>
  <dataValidations count="1">
    <dataValidation type="list" errorStyle="warning" allowBlank="1" showInputMessage="1" showErrorMessage="1" sqref="J7:K86 U7:V86" xr:uid="{00000000-0002-0000-1300-000000000000}">
      <formula1>"0%,10%,20%,30%,40%,50%,60%,70%,80%,90%,100%"</formula1>
    </dataValidation>
  </dataValidations>
  <hyperlinks>
    <hyperlink ref="F7" location="_s1" display="_s1" xr:uid="{00000000-0004-0000-1300-000000000000}"/>
    <hyperlink ref="F9" location="_s2" display="_s2" xr:uid="{00000000-0004-0000-1300-000001000000}"/>
    <hyperlink ref="F11" location="_s3" display="_s3" xr:uid="{00000000-0004-0000-1300-000002000000}"/>
    <hyperlink ref="F13" location="_s4" display="_s4" xr:uid="{00000000-0004-0000-1300-000003000000}"/>
    <hyperlink ref="F15" location="_s5" display="_s5" xr:uid="{00000000-0004-0000-1300-000004000000}"/>
    <hyperlink ref="F17" location="_s6" display="_s6" xr:uid="{00000000-0004-0000-1300-000005000000}"/>
    <hyperlink ref="F19" location="_s7" display="_s7" xr:uid="{00000000-0004-0000-1300-000006000000}"/>
    <hyperlink ref="F21" location="_s8" display="_s8" xr:uid="{00000000-0004-0000-1300-000007000000}"/>
    <hyperlink ref="F23" location="_s9" display="_s9" xr:uid="{00000000-0004-0000-1300-000008000000}"/>
    <hyperlink ref="F25" location="_s10" display="_s10" xr:uid="{00000000-0004-0000-1300-000009000000}"/>
    <hyperlink ref="F27" location="_s11" display="_s11" xr:uid="{00000000-0004-0000-1300-00000A000000}"/>
    <hyperlink ref="F29" location="_s12" display="_s12" xr:uid="{00000000-0004-0000-1300-00000B000000}"/>
    <hyperlink ref="F31" location="_s13" display="_s13" xr:uid="{00000000-0004-0000-1300-00000C000000}"/>
    <hyperlink ref="F33" location="_s14" display="_s14" xr:uid="{00000000-0004-0000-1300-00000D000000}"/>
    <hyperlink ref="F35" location="_s15" display="_s15" xr:uid="{00000000-0004-0000-1300-00000E000000}"/>
    <hyperlink ref="F37" location="_s16" display="_s16" xr:uid="{00000000-0004-0000-1300-00000F000000}"/>
    <hyperlink ref="F39" location="_s17" display="_s17" xr:uid="{00000000-0004-0000-1300-000010000000}"/>
    <hyperlink ref="F41" location="_s18" display="_s18" xr:uid="{00000000-0004-0000-1300-000011000000}"/>
    <hyperlink ref="F43" location="_s19" display="_s19" xr:uid="{00000000-0004-0000-1300-000012000000}"/>
    <hyperlink ref="F45" location="_s20" display="_s20" xr:uid="{00000000-0004-0000-1300-000013000000}"/>
    <hyperlink ref="F47" location="_s21" display="_s21" xr:uid="{00000000-0004-0000-1300-000014000000}"/>
    <hyperlink ref="F49" location="_s22" display="_s22" xr:uid="{00000000-0004-0000-1300-000015000000}"/>
    <hyperlink ref="F51" location="_s23" display="_s23" xr:uid="{00000000-0004-0000-1300-000016000000}"/>
    <hyperlink ref="F53" location="_s24" display="_s24" xr:uid="{00000000-0004-0000-1300-000017000000}"/>
    <hyperlink ref="F55" location="_s25" display="_s25" xr:uid="{00000000-0004-0000-1300-000018000000}"/>
    <hyperlink ref="F57" location="_s26" display="_s26" xr:uid="{00000000-0004-0000-1300-000019000000}"/>
    <hyperlink ref="F59" location="_s27" display="_s27" xr:uid="{00000000-0004-0000-1300-00001A000000}"/>
    <hyperlink ref="F61" location="_s28" display="_s28" xr:uid="{00000000-0004-0000-1300-00001B000000}"/>
    <hyperlink ref="F63" location="_s29" display="_s29" xr:uid="{00000000-0004-0000-1300-00001C000000}"/>
    <hyperlink ref="F65" location="_s30" display="_s30" xr:uid="{00000000-0004-0000-1300-00001D000000}"/>
    <hyperlink ref="F67" location="_s31" display="_s31" xr:uid="{00000000-0004-0000-1300-00001E000000}"/>
    <hyperlink ref="F69" location="_s32" display="_s32" xr:uid="{00000000-0004-0000-1300-00001F000000}"/>
    <hyperlink ref="F71" location="_s33" display="_s33" xr:uid="{00000000-0004-0000-1300-000020000000}"/>
    <hyperlink ref="F73" location="_s34" display="_s34" xr:uid="{00000000-0004-0000-1300-000021000000}"/>
    <hyperlink ref="F75" location="_s35" display="_s35" xr:uid="{00000000-0004-0000-1300-000022000000}"/>
    <hyperlink ref="F77" location="_s36" display="_s36" xr:uid="{00000000-0004-0000-1300-000023000000}"/>
    <hyperlink ref="F79" location="_s37" display="_s37" xr:uid="{00000000-0004-0000-1300-000024000000}"/>
    <hyperlink ref="F81" location="_s38" display="_s38" xr:uid="{00000000-0004-0000-1300-000025000000}"/>
    <hyperlink ref="F83" location="_s39" display="_s39" xr:uid="{00000000-0004-0000-1300-000026000000}"/>
    <hyperlink ref="F85" location="_s40" display="_s40" xr:uid="{00000000-0004-0000-1300-000027000000}"/>
    <hyperlink ref="Q7" location="__o1" display="__o1" xr:uid="{00000000-0004-0000-1300-000028000000}"/>
    <hyperlink ref="Q9" location="__o3" display="__o3" xr:uid="{00000000-0004-0000-1300-000029000000}"/>
    <hyperlink ref="Q11" location="__o5" display="__o5" xr:uid="{00000000-0004-0000-1300-00002A000000}"/>
    <hyperlink ref="Q13" location="__o7" display="__o7" xr:uid="{00000000-0004-0000-1300-00002B000000}"/>
    <hyperlink ref="Q10" location="__o4" display="__o4" xr:uid="{00000000-0004-0000-1300-00002C000000}"/>
    <hyperlink ref="Q12" location="__o6" display="__o6" xr:uid="{00000000-0004-0000-1300-00002D000000}"/>
    <hyperlink ref="Q14" location="__o8" display="__o8" xr:uid="{00000000-0004-0000-1300-00002E000000}"/>
    <hyperlink ref="Q8" location="__o2" display="__o2" xr:uid="{00000000-0004-0000-1300-00002F000000}"/>
    <hyperlink ref="Q15" location="__o9" display="__o9" xr:uid="{00000000-0004-0000-1300-000030000000}"/>
    <hyperlink ref="Q17" location="__11" display="__11" xr:uid="{00000000-0004-0000-1300-000031000000}"/>
    <hyperlink ref="Q19" location="__13" display="__13" xr:uid="{00000000-0004-0000-1300-000032000000}"/>
    <hyperlink ref="Q21" location="__15" display="__15" xr:uid="{00000000-0004-0000-1300-000033000000}"/>
    <hyperlink ref="Q18" location="__12" display="__12" xr:uid="{00000000-0004-0000-1300-000034000000}"/>
    <hyperlink ref="Q20" location="__14" display="__14" xr:uid="{00000000-0004-0000-1300-000035000000}"/>
    <hyperlink ref="Q22" location="__16" display="__16" xr:uid="{00000000-0004-0000-1300-000036000000}"/>
    <hyperlink ref="Q16" location="__10" display="__10" xr:uid="{00000000-0004-0000-1300-000037000000}"/>
    <hyperlink ref="Q23" location="__17" display="__17" xr:uid="{00000000-0004-0000-1300-000038000000}"/>
    <hyperlink ref="Q24" location="__18" display="__18" xr:uid="{00000000-0004-0000-1300-000039000000}"/>
    <hyperlink ref="Q25" location="__19" display="__19" xr:uid="{00000000-0004-0000-1300-00003A000000}"/>
    <hyperlink ref="Q26" location="__20" display="__20" xr:uid="{00000000-0004-0000-1300-00003B000000}"/>
    <hyperlink ref="Q27" location="__21" display="__21" xr:uid="{00000000-0004-0000-1300-00003C000000}"/>
    <hyperlink ref="Q28" location="__22" display="__22" xr:uid="{00000000-0004-0000-1300-00003D000000}"/>
    <hyperlink ref="Q29" location="__23" display="__23" xr:uid="{00000000-0004-0000-1300-00003E000000}"/>
    <hyperlink ref="Q30" location="__24" display="__24" xr:uid="{00000000-0004-0000-1300-00003F000000}"/>
    <hyperlink ref="Q31" location="__25" display="__25" xr:uid="{00000000-0004-0000-1300-000040000000}"/>
    <hyperlink ref="Q32" location="__26" display="__26" xr:uid="{00000000-0004-0000-1300-000041000000}"/>
    <hyperlink ref="Q33" location="__27" display="__27" xr:uid="{00000000-0004-0000-1300-000042000000}"/>
    <hyperlink ref="Q34" location="__28" display="__28" xr:uid="{00000000-0004-0000-1300-000043000000}"/>
    <hyperlink ref="Q35" location="__29" display="__29" xr:uid="{00000000-0004-0000-1300-000044000000}"/>
    <hyperlink ref="Q36" location="__30" display="__30" xr:uid="{00000000-0004-0000-1300-000045000000}"/>
    <hyperlink ref="Q37" location="__31" display="__31" xr:uid="{00000000-0004-0000-1300-000046000000}"/>
    <hyperlink ref="Q38" location="__32" display="__32" xr:uid="{00000000-0004-0000-1300-000047000000}"/>
    <hyperlink ref="Q39" location="__33" display="__33" xr:uid="{00000000-0004-0000-1300-000048000000}"/>
    <hyperlink ref="Q40" location="__34" display="__34" xr:uid="{00000000-0004-0000-1300-000049000000}"/>
    <hyperlink ref="Q41" location="__35" display="__35" xr:uid="{00000000-0004-0000-1300-00004A000000}"/>
    <hyperlink ref="Q42" location="__36" display="__36" xr:uid="{00000000-0004-0000-1300-00004B000000}"/>
    <hyperlink ref="Q43" location="__37" display="__37" xr:uid="{00000000-0004-0000-1300-00004C000000}"/>
    <hyperlink ref="Q44" location="__38" display="__38" xr:uid="{00000000-0004-0000-1300-00004D000000}"/>
    <hyperlink ref="Q45" location="__39" display="__39" xr:uid="{00000000-0004-0000-1300-00004E000000}"/>
    <hyperlink ref="Q46" location="__40" display="__40" xr:uid="{00000000-0004-0000-1300-00004F000000}"/>
    <hyperlink ref="Q47" location="__41" display="__41" xr:uid="{00000000-0004-0000-1300-000050000000}"/>
    <hyperlink ref="Q48" location="__42" display="__42" xr:uid="{00000000-0004-0000-1300-000051000000}"/>
    <hyperlink ref="Q49" location="__43" display="__43" xr:uid="{00000000-0004-0000-1300-000052000000}"/>
    <hyperlink ref="Q50" location="__44" display="__44" xr:uid="{00000000-0004-0000-1300-000053000000}"/>
    <hyperlink ref="Q51" location="__45" display="__45" xr:uid="{00000000-0004-0000-1300-000054000000}"/>
    <hyperlink ref="Q52" location="__46" display="__46" xr:uid="{00000000-0004-0000-1300-000055000000}"/>
    <hyperlink ref="Q53" location="__47" display="__47" xr:uid="{00000000-0004-0000-1300-000056000000}"/>
    <hyperlink ref="Q54" location="__48" display="__48" xr:uid="{00000000-0004-0000-1300-000057000000}"/>
    <hyperlink ref="Q55" location="__49" display="__49" xr:uid="{00000000-0004-0000-1300-000058000000}"/>
    <hyperlink ref="Q56" location="__50" display="__50" xr:uid="{00000000-0004-0000-1300-000059000000}"/>
    <hyperlink ref="Q57" location="__51" display="__51" xr:uid="{00000000-0004-0000-1300-00005A000000}"/>
    <hyperlink ref="Q58" location="__52" display="__52" xr:uid="{00000000-0004-0000-1300-00005B000000}"/>
    <hyperlink ref="Q59" location="__53" display="__53" xr:uid="{00000000-0004-0000-1300-00005C000000}"/>
    <hyperlink ref="Q60" location="__54" display="__54" xr:uid="{00000000-0004-0000-1300-00005D000000}"/>
    <hyperlink ref="Q61" location="__55" display="__55" xr:uid="{00000000-0004-0000-1300-00005E000000}"/>
    <hyperlink ref="Q62" location="__56" display="__56" xr:uid="{00000000-0004-0000-1300-00005F000000}"/>
    <hyperlink ref="Q63" location="__57" display="__57" xr:uid="{00000000-0004-0000-1300-000060000000}"/>
    <hyperlink ref="Q64" location="__58" display="__58" xr:uid="{00000000-0004-0000-1300-000061000000}"/>
    <hyperlink ref="Q65" location="__59" display="__59" xr:uid="{00000000-0004-0000-1300-000062000000}"/>
    <hyperlink ref="Q66" location="__60" display="__60" xr:uid="{00000000-0004-0000-1300-000063000000}"/>
    <hyperlink ref="Q67" location="__61" display="__61" xr:uid="{00000000-0004-0000-1300-000064000000}"/>
    <hyperlink ref="Q68" location="__62" display="__62" xr:uid="{00000000-0004-0000-1300-000065000000}"/>
    <hyperlink ref="Q69" location="__63" display="__63" xr:uid="{00000000-0004-0000-1300-000066000000}"/>
    <hyperlink ref="Q70" location="__64" display="__64" xr:uid="{00000000-0004-0000-1300-000067000000}"/>
    <hyperlink ref="Q71" location="__65" display="__65" xr:uid="{00000000-0004-0000-1300-000068000000}"/>
    <hyperlink ref="Q72" location="__66" display="__66" xr:uid="{00000000-0004-0000-1300-000069000000}"/>
    <hyperlink ref="Q73" location="__67" display="__67" xr:uid="{00000000-0004-0000-1300-00006A000000}"/>
    <hyperlink ref="Q74" location="__68" display="__68" xr:uid="{00000000-0004-0000-1300-00006B000000}"/>
    <hyperlink ref="Q75" location="__69" display="__69" xr:uid="{00000000-0004-0000-1300-00006C000000}"/>
    <hyperlink ref="Q76" location="__70" display="__70" xr:uid="{00000000-0004-0000-1300-00006D000000}"/>
    <hyperlink ref="Q77" location="__71" display="__71" xr:uid="{00000000-0004-0000-1300-00006E000000}"/>
    <hyperlink ref="Q78" location="__72" display="__72" xr:uid="{00000000-0004-0000-1300-00006F000000}"/>
    <hyperlink ref="Q79" location="__73" display="__73" xr:uid="{00000000-0004-0000-1300-000070000000}"/>
    <hyperlink ref="Q80" location="__74" display="__74" xr:uid="{00000000-0004-0000-1300-000071000000}"/>
    <hyperlink ref="Q81" location="__75" display="__75" xr:uid="{00000000-0004-0000-1300-000072000000}"/>
    <hyperlink ref="Q82" location="__76" display="__76" xr:uid="{00000000-0004-0000-1300-000073000000}"/>
    <hyperlink ref="Q83" location="__77" display="__77" xr:uid="{00000000-0004-0000-1300-000074000000}"/>
    <hyperlink ref="Q84" location="__78" display="__78" xr:uid="{00000000-0004-0000-1300-000075000000}"/>
    <hyperlink ref="Q85" location="__79" display="__79" xr:uid="{00000000-0004-0000-1300-000076000000}"/>
    <hyperlink ref="Q86" location="__80" display="__80" xr:uid="{00000000-0004-0000-1300-000077000000}"/>
  </hyperlinks>
  <pageMargins left="0.19685039370078741" right="0.19685039370078741" top="0.31496062992125984" bottom="0.43307086614173229" header="0" footer="0.19685039370078741"/>
  <pageSetup paperSize="8" fitToHeight="2" orientation="landscape" r:id="rId1"/>
  <headerFooter>
    <oddFooter>&amp;L&amp;8(c) S. Imboden&amp;C&amp;8gedruckt am &amp;D&amp;R&amp;8&amp;P/&amp;N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1" id="{46715ABE-744C-4E5E-8746-6E2E2B04CBFA}">
            <x14:iconSet iconSet="3Symbols2" showValue="0" custom="1">
              <x14:cfvo type="percent">
                <xm:f>0</xm:f>
              </x14:cfvo>
              <x14:cfvo type="num">
                <xm:f>1.25</xm:f>
              </x14:cfvo>
              <x14:cfvo type="num">
                <xm:f>2.25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L7:L86</xm:sqref>
        </x14:conditionalFormatting>
        <x14:conditionalFormatting xmlns:xm="http://schemas.microsoft.com/office/excel/2006/main">
          <x14:cfRule type="iconSet" priority="22" id="{F0F1AA11-8374-434A-80D3-19A4AD45F458}">
            <x14:iconSet iconSet="3Symbols2" showValue="0" custom="1">
              <x14:cfvo type="percent">
                <xm:f>0</xm:f>
              </x14:cfvo>
              <x14:cfvo type="num">
                <xm:f>1.25</xm:f>
              </x14:cfvo>
              <x14:cfvo type="num">
                <xm:f>2.25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W7:W86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0" tint="-0.499984740745262"/>
    <pageSetUpPr fitToPage="1"/>
  </sheetPr>
  <dimension ref="A1:O104"/>
  <sheetViews>
    <sheetView showGridLines="0" zoomScaleNormal="100" workbookViewId="0">
      <pane ySplit="4" topLeftCell="A5" activePane="bottomLeft" state="frozen"/>
      <selection activeCell="N13" sqref="N13"/>
      <selection pane="bottomLeft" activeCell="C5" sqref="C5"/>
    </sheetView>
  </sheetViews>
  <sheetFormatPr baseColWidth="10" defaultColWidth="12.5546875" defaultRowHeight="14.4" x14ac:dyDescent="0.3"/>
  <cols>
    <col min="1" max="1" width="7" style="416" customWidth="1"/>
    <col min="2" max="2" width="4.5546875" style="417" customWidth="1"/>
    <col min="3" max="3" width="29" style="417" customWidth="1"/>
    <col min="4" max="4" width="8.109375" style="417" bestFit="1" customWidth="1"/>
    <col min="5" max="5" width="14.6640625" style="417" customWidth="1"/>
    <col min="6" max="6" width="13.6640625" style="417" customWidth="1"/>
    <col min="7" max="7" width="11.109375" style="417" customWidth="1"/>
    <col min="8" max="8" width="34.33203125" style="417" customWidth="1"/>
    <col min="9" max="9" width="7" style="417" customWidth="1"/>
    <col min="10" max="10" width="0.109375" style="417" customWidth="1"/>
    <col min="11" max="24" width="4" style="417" customWidth="1"/>
    <col min="25" max="16384" width="12.5546875" style="417"/>
  </cols>
  <sheetData>
    <row r="1" spans="1:15" s="414" customFormat="1" ht="45" customHeight="1" x14ac:dyDescent="0.3">
      <c r="A1" s="410"/>
      <c r="B1" s="411" t="str">
        <f ca="1">' '!A34</f>
        <v>P E R S O N A L</v>
      </c>
      <c r="C1" s="411"/>
      <c r="D1" s="411"/>
      <c r="E1" s="411"/>
      <c r="F1" s="411"/>
      <c r="G1" s="411"/>
      <c r="H1" s="411"/>
      <c r="I1" s="412"/>
      <c r="J1" s="413"/>
    </row>
    <row r="2" spans="1:15" s="416" customFormat="1" ht="14.25" customHeight="1" x14ac:dyDescent="0.3">
      <c r="A2" s="415"/>
    </row>
    <row r="3" spans="1:15" ht="10.5" customHeight="1" x14ac:dyDescent="0.3">
      <c r="A3" s="139"/>
      <c r="C3" s="416"/>
    </row>
    <row r="4" spans="1:15" ht="33.75" customHeight="1" x14ac:dyDescent="0.3">
      <c r="B4" s="418" t="str">
        <f ca="1">' '!A384</f>
        <v>Nr.</v>
      </c>
      <c r="C4" s="419" t="str">
        <f ca="1">' '!A35</f>
        <v>Person oder Gruppe</v>
      </c>
      <c r="D4" s="419" t="str">
        <f ca="1">' '!A39</f>
        <v>Anzahl</v>
      </c>
      <c r="E4" s="1008" t="str">
        <f ca="1">' '!A36</f>
        <v>Bereitschaft zur Erneuerung</v>
      </c>
      <c r="F4" s="1008" t="str">
        <f ca="1">' '!A37</f>
        <v>Zufriedenheit</v>
      </c>
      <c r="G4" s="1008" t="str">
        <f ca="1">' '!A38</f>
        <v>Motivation</v>
      </c>
      <c r="H4" s="419" t="str">
        <f ca="1">' '!A40</f>
        <v>Bemerkungen</v>
      </c>
      <c r="I4" s="420" t="str">
        <f ca="1">' '!A41</f>
        <v>Status</v>
      </c>
    </row>
    <row r="5" spans="1:15" ht="23.4" x14ac:dyDescent="0.3">
      <c r="B5" s="421" t="s">
        <v>1414</v>
      </c>
      <c r="C5" s="422" t="s">
        <v>476</v>
      </c>
      <c r="D5" s="423">
        <v>1</v>
      </c>
      <c r="E5" s="423">
        <v>3</v>
      </c>
      <c r="F5" s="423">
        <v>7</v>
      </c>
      <c r="G5" s="424">
        <v>2</v>
      </c>
      <c r="H5" s="422"/>
      <c r="I5" s="425">
        <v>3</v>
      </c>
      <c r="J5" s="426">
        <f>IF(G5=3,3,
IF(G5=2,2,1))</f>
        <v>2</v>
      </c>
      <c r="M5" s="427"/>
      <c r="N5" s="427"/>
      <c r="O5" s="428"/>
    </row>
    <row r="6" spans="1:15" ht="23.4" x14ac:dyDescent="0.3">
      <c r="B6" s="421" t="s">
        <v>1415</v>
      </c>
      <c r="C6" s="422" t="s">
        <v>736</v>
      </c>
      <c r="D6" s="429">
        <v>2</v>
      </c>
      <c r="E6" s="423">
        <v>10</v>
      </c>
      <c r="F6" s="423">
        <v>9</v>
      </c>
      <c r="G6" s="424">
        <v>1</v>
      </c>
      <c r="H6" s="430"/>
      <c r="I6" s="425">
        <v>1</v>
      </c>
      <c r="J6" s="426">
        <f t="shared" ref="J6:J24" si="0">IF(G6=3,3,
IF(G6=2,2,1))</f>
        <v>1</v>
      </c>
      <c r="M6" s="416"/>
      <c r="N6" s="416"/>
      <c r="O6" s="428"/>
    </row>
    <row r="7" spans="1:15" ht="23.4" x14ac:dyDescent="0.3">
      <c r="B7" s="421" t="s">
        <v>1416</v>
      </c>
      <c r="C7" s="422" t="s">
        <v>1443</v>
      </c>
      <c r="D7" s="423">
        <v>5</v>
      </c>
      <c r="E7" s="423">
        <v>2</v>
      </c>
      <c r="F7" s="423">
        <v>2</v>
      </c>
      <c r="G7" s="424">
        <v>3</v>
      </c>
      <c r="H7" s="422"/>
      <c r="I7" s="425"/>
      <c r="J7" s="426">
        <f t="shared" si="0"/>
        <v>3</v>
      </c>
      <c r="M7" s="416"/>
      <c r="N7" s="416"/>
      <c r="O7" s="428"/>
    </row>
    <row r="8" spans="1:15" ht="23.4" x14ac:dyDescent="0.3">
      <c r="B8" s="421" t="s">
        <v>1417</v>
      </c>
      <c r="C8" s="422"/>
      <c r="D8" s="423"/>
      <c r="E8" s="423"/>
      <c r="F8" s="423"/>
      <c r="G8" s="424"/>
      <c r="H8" s="422"/>
      <c r="I8" s="425"/>
      <c r="J8" s="426">
        <f t="shared" si="0"/>
        <v>1</v>
      </c>
      <c r="M8" s="416"/>
      <c r="N8" s="416"/>
      <c r="O8" s="428"/>
    </row>
    <row r="9" spans="1:15" ht="23.4" x14ac:dyDescent="0.3">
      <c r="B9" s="421" t="s">
        <v>1418</v>
      </c>
      <c r="C9" s="422"/>
      <c r="D9" s="423"/>
      <c r="E9" s="423"/>
      <c r="F9" s="423"/>
      <c r="G9" s="424"/>
      <c r="H9" s="422"/>
      <c r="I9" s="425"/>
      <c r="J9" s="426">
        <f t="shared" si="0"/>
        <v>1</v>
      </c>
      <c r="M9" s="416"/>
      <c r="N9" s="416"/>
      <c r="O9" s="428"/>
    </row>
    <row r="10" spans="1:15" ht="23.4" x14ac:dyDescent="0.3">
      <c r="B10" s="421" t="s">
        <v>1419</v>
      </c>
      <c r="C10" s="422"/>
      <c r="D10" s="423"/>
      <c r="E10" s="423"/>
      <c r="F10" s="423"/>
      <c r="G10" s="424"/>
      <c r="H10" s="422"/>
      <c r="I10" s="425"/>
      <c r="J10" s="426">
        <f t="shared" si="0"/>
        <v>1</v>
      </c>
      <c r="M10" s="416"/>
      <c r="N10" s="416"/>
      <c r="O10" s="428"/>
    </row>
    <row r="11" spans="1:15" ht="23.4" x14ac:dyDescent="0.3">
      <c r="B11" s="421" t="s">
        <v>1420</v>
      </c>
      <c r="C11" s="422"/>
      <c r="D11" s="423"/>
      <c r="E11" s="423"/>
      <c r="F11" s="423"/>
      <c r="G11" s="424"/>
      <c r="H11" s="422"/>
      <c r="I11" s="425"/>
      <c r="J11" s="426">
        <f t="shared" si="0"/>
        <v>1</v>
      </c>
      <c r="M11" s="416"/>
      <c r="N11" s="416"/>
      <c r="O11" s="428"/>
    </row>
    <row r="12" spans="1:15" ht="23.4" x14ac:dyDescent="0.3">
      <c r="B12" s="421" t="s">
        <v>1421</v>
      </c>
      <c r="C12" s="422"/>
      <c r="D12" s="423"/>
      <c r="E12" s="423"/>
      <c r="F12" s="423"/>
      <c r="G12" s="424"/>
      <c r="H12" s="422"/>
      <c r="I12" s="425"/>
      <c r="J12" s="426">
        <f t="shared" si="0"/>
        <v>1</v>
      </c>
      <c r="M12" s="416"/>
      <c r="N12" s="416"/>
      <c r="O12" s="428"/>
    </row>
    <row r="13" spans="1:15" ht="23.4" x14ac:dyDescent="0.3">
      <c r="B13" s="421" t="s">
        <v>1422</v>
      </c>
      <c r="C13" s="422"/>
      <c r="D13" s="423"/>
      <c r="E13" s="423"/>
      <c r="F13" s="423"/>
      <c r="G13" s="424"/>
      <c r="H13" s="422"/>
      <c r="I13" s="425"/>
      <c r="J13" s="426">
        <f t="shared" si="0"/>
        <v>1</v>
      </c>
      <c r="M13" s="416"/>
      <c r="N13" s="416"/>
      <c r="O13" s="428"/>
    </row>
    <row r="14" spans="1:15" ht="23.4" x14ac:dyDescent="0.3">
      <c r="B14" s="421" t="s">
        <v>1423</v>
      </c>
      <c r="C14" s="422"/>
      <c r="D14" s="423"/>
      <c r="E14" s="423"/>
      <c r="F14" s="423"/>
      <c r="G14" s="424"/>
      <c r="H14" s="422"/>
      <c r="I14" s="425"/>
      <c r="J14" s="426">
        <f t="shared" si="0"/>
        <v>1</v>
      </c>
      <c r="M14" s="416"/>
      <c r="N14" s="416"/>
      <c r="O14" s="428"/>
    </row>
    <row r="15" spans="1:15" ht="23.4" x14ac:dyDescent="0.3">
      <c r="B15" s="421" t="s">
        <v>1424</v>
      </c>
      <c r="C15" s="422"/>
      <c r="D15" s="423"/>
      <c r="E15" s="423"/>
      <c r="F15" s="423"/>
      <c r="G15" s="424"/>
      <c r="H15" s="422"/>
      <c r="I15" s="425"/>
      <c r="J15" s="426">
        <f t="shared" si="0"/>
        <v>1</v>
      </c>
      <c r="M15" s="416"/>
      <c r="N15" s="416"/>
      <c r="O15" s="428"/>
    </row>
    <row r="16" spans="1:15" ht="23.4" x14ac:dyDescent="0.3">
      <c r="B16" s="421" t="s">
        <v>1425</v>
      </c>
      <c r="C16" s="422"/>
      <c r="D16" s="423"/>
      <c r="E16" s="423"/>
      <c r="F16" s="423"/>
      <c r="G16" s="424"/>
      <c r="H16" s="422"/>
      <c r="I16" s="425"/>
      <c r="J16" s="426">
        <f t="shared" si="0"/>
        <v>1</v>
      </c>
      <c r="M16" s="416"/>
      <c r="N16" s="416"/>
      <c r="O16" s="428"/>
    </row>
    <row r="17" spans="2:15" ht="23.4" x14ac:dyDescent="0.3">
      <c r="B17" s="421" t="s">
        <v>1426</v>
      </c>
      <c r="C17" s="422"/>
      <c r="D17" s="423"/>
      <c r="E17" s="423"/>
      <c r="F17" s="423"/>
      <c r="G17" s="424"/>
      <c r="H17" s="422"/>
      <c r="I17" s="425"/>
      <c r="J17" s="426">
        <f t="shared" si="0"/>
        <v>1</v>
      </c>
      <c r="M17" s="416"/>
      <c r="N17" s="416"/>
      <c r="O17" s="428"/>
    </row>
    <row r="18" spans="2:15" ht="23.4" x14ac:dyDescent="0.3">
      <c r="B18" s="421" t="s">
        <v>1427</v>
      </c>
      <c r="C18" s="422"/>
      <c r="D18" s="423"/>
      <c r="E18" s="423"/>
      <c r="F18" s="423"/>
      <c r="G18" s="424"/>
      <c r="H18" s="422"/>
      <c r="I18" s="425"/>
      <c r="J18" s="426">
        <f t="shared" si="0"/>
        <v>1</v>
      </c>
      <c r="M18" s="416"/>
      <c r="N18" s="416"/>
      <c r="O18" s="428"/>
    </row>
    <row r="19" spans="2:15" ht="23.4" x14ac:dyDescent="0.3">
      <c r="B19" s="421" t="s">
        <v>1428</v>
      </c>
      <c r="C19" s="422"/>
      <c r="D19" s="423"/>
      <c r="E19" s="423"/>
      <c r="F19" s="423"/>
      <c r="G19" s="424"/>
      <c r="H19" s="422"/>
      <c r="I19" s="425"/>
      <c r="J19" s="426">
        <f t="shared" si="0"/>
        <v>1</v>
      </c>
      <c r="M19" s="416"/>
      <c r="N19" s="416"/>
      <c r="O19" s="428"/>
    </row>
    <row r="20" spans="2:15" ht="23.4" x14ac:dyDescent="0.3">
      <c r="B20" s="421" t="s">
        <v>1429</v>
      </c>
      <c r="C20" s="422"/>
      <c r="D20" s="423"/>
      <c r="E20" s="423"/>
      <c r="F20" s="423"/>
      <c r="G20" s="424"/>
      <c r="H20" s="422"/>
      <c r="I20" s="425"/>
      <c r="J20" s="426">
        <f t="shared" si="0"/>
        <v>1</v>
      </c>
      <c r="M20" s="416"/>
      <c r="N20" s="416"/>
      <c r="O20" s="428"/>
    </row>
    <row r="21" spans="2:15" ht="23.4" x14ac:dyDescent="0.3">
      <c r="B21" s="421" t="s">
        <v>1430</v>
      </c>
      <c r="C21" s="422"/>
      <c r="D21" s="423"/>
      <c r="E21" s="423"/>
      <c r="F21" s="423"/>
      <c r="G21" s="424"/>
      <c r="H21" s="422"/>
      <c r="I21" s="425"/>
      <c r="J21" s="426">
        <f t="shared" si="0"/>
        <v>1</v>
      </c>
      <c r="M21" s="416"/>
      <c r="N21" s="416"/>
      <c r="O21" s="428"/>
    </row>
    <row r="22" spans="2:15" ht="23.4" x14ac:dyDescent="0.3">
      <c r="B22" s="421" t="s">
        <v>1431</v>
      </c>
      <c r="C22" s="422"/>
      <c r="D22" s="423"/>
      <c r="E22" s="423"/>
      <c r="F22" s="423"/>
      <c r="G22" s="424"/>
      <c r="H22" s="422"/>
      <c r="I22" s="425"/>
      <c r="J22" s="426">
        <f t="shared" si="0"/>
        <v>1</v>
      </c>
      <c r="M22" s="416"/>
      <c r="N22" s="416"/>
      <c r="O22" s="428"/>
    </row>
    <row r="23" spans="2:15" ht="23.4" x14ac:dyDescent="0.3">
      <c r="B23" s="421" t="s">
        <v>1432</v>
      </c>
      <c r="C23" s="422"/>
      <c r="D23" s="423"/>
      <c r="E23" s="423"/>
      <c r="F23" s="423"/>
      <c r="G23" s="424"/>
      <c r="H23" s="422"/>
      <c r="I23" s="425"/>
      <c r="J23" s="426">
        <f t="shared" si="0"/>
        <v>1</v>
      </c>
      <c r="M23" s="416"/>
      <c r="N23" s="416"/>
      <c r="O23" s="428"/>
    </row>
    <row r="24" spans="2:15" ht="23.4" x14ac:dyDescent="0.3">
      <c r="B24" s="431" t="s">
        <v>1433</v>
      </c>
      <c r="C24" s="432"/>
      <c r="D24" s="433"/>
      <c r="E24" s="433"/>
      <c r="F24" s="433"/>
      <c r="G24" s="434"/>
      <c r="H24" s="432"/>
      <c r="I24" s="435"/>
      <c r="J24" s="426">
        <f t="shared" si="0"/>
        <v>1</v>
      </c>
      <c r="M24" s="416"/>
      <c r="N24" s="416"/>
      <c r="O24" s="428"/>
    </row>
    <row r="25" spans="2:15" ht="15" thickBot="1" x14ac:dyDescent="0.35">
      <c r="B25" s="74" t="s">
        <v>2105</v>
      </c>
      <c r="C25" s="97"/>
      <c r="D25" s="436">
        <f>SUM(D5:D24)</f>
        <v>8</v>
      </c>
      <c r="M25" s="416"/>
      <c r="N25" s="416"/>
    </row>
    <row r="26" spans="2:15" ht="22.5" customHeight="1" x14ac:dyDescent="0.3">
      <c r="M26" s="416"/>
      <c r="N26" s="416"/>
    </row>
    <row r="27" spans="2:15" ht="22.5" customHeight="1" x14ac:dyDescent="0.3">
      <c r="M27" s="416"/>
      <c r="N27" s="416"/>
    </row>
    <row r="28" spans="2:15" ht="22.5" customHeight="1" x14ac:dyDescent="0.35">
      <c r="H28" s="437" t="str">
        <f t="shared" ref="H28:H47" si="1">CONCATENATE("    ",B5,"   ",C5)</f>
        <v xml:space="preserve">    p1   Name</v>
      </c>
      <c r="M28" s="416"/>
      <c r="N28" s="416"/>
    </row>
    <row r="29" spans="2:15" ht="22.5" customHeight="1" x14ac:dyDescent="0.35">
      <c r="H29" s="437" t="str">
        <f t="shared" si="1"/>
        <v xml:space="preserve">    p2   Groupe 1</v>
      </c>
      <c r="M29" s="416"/>
      <c r="N29" s="416"/>
    </row>
    <row r="30" spans="2:15" ht="22.5" customHeight="1" x14ac:dyDescent="0.35">
      <c r="H30" s="437" t="str">
        <f t="shared" si="1"/>
        <v xml:space="preserve">    p3   Group 2</v>
      </c>
      <c r="M30" s="416"/>
      <c r="N30" s="416"/>
    </row>
    <row r="31" spans="2:15" ht="22.5" customHeight="1" x14ac:dyDescent="0.35">
      <c r="H31" s="437" t="str">
        <f t="shared" si="1"/>
        <v xml:space="preserve">    p4   </v>
      </c>
      <c r="M31" s="416"/>
      <c r="N31" s="416"/>
    </row>
    <row r="32" spans="2:15" ht="22.5" customHeight="1" x14ac:dyDescent="0.35">
      <c r="H32" s="437" t="str">
        <f t="shared" si="1"/>
        <v xml:space="preserve">    p5   </v>
      </c>
      <c r="M32" s="416"/>
      <c r="N32" s="416"/>
    </row>
    <row r="33" spans="8:14" ht="22.5" customHeight="1" x14ac:dyDescent="0.35">
      <c r="H33" s="437" t="str">
        <f t="shared" si="1"/>
        <v xml:space="preserve">    p6   </v>
      </c>
      <c r="M33" s="416"/>
      <c r="N33" s="416"/>
    </row>
    <row r="34" spans="8:14" ht="22.5" customHeight="1" x14ac:dyDescent="0.35">
      <c r="H34" s="437" t="str">
        <f t="shared" si="1"/>
        <v xml:space="preserve">    p7   </v>
      </c>
      <c r="M34" s="416"/>
      <c r="N34" s="416"/>
    </row>
    <row r="35" spans="8:14" ht="22.5" customHeight="1" x14ac:dyDescent="0.35">
      <c r="H35" s="437" t="str">
        <f t="shared" si="1"/>
        <v xml:space="preserve">    p8   </v>
      </c>
      <c r="M35" s="416"/>
      <c r="N35" s="416"/>
    </row>
    <row r="36" spans="8:14" ht="22.5" customHeight="1" x14ac:dyDescent="0.35">
      <c r="H36" s="437" t="str">
        <f t="shared" si="1"/>
        <v xml:space="preserve">    p9   </v>
      </c>
      <c r="M36" s="416"/>
      <c r="N36" s="416"/>
    </row>
    <row r="37" spans="8:14" ht="22.5" customHeight="1" x14ac:dyDescent="0.35">
      <c r="H37" s="437" t="str">
        <f t="shared" si="1"/>
        <v xml:space="preserve">    p10   </v>
      </c>
      <c r="M37" s="416"/>
      <c r="N37" s="416"/>
    </row>
    <row r="38" spans="8:14" ht="22.5" customHeight="1" x14ac:dyDescent="0.35">
      <c r="H38" s="437" t="str">
        <f t="shared" si="1"/>
        <v xml:space="preserve">    p11   </v>
      </c>
      <c r="M38" s="416"/>
      <c r="N38" s="416"/>
    </row>
    <row r="39" spans="8:14" ht="22.5" customHeight="1" x14ac:dyDescent="0.35">
      <c r="H39" s="437" t="str">
        <f t="shared" si="1"/>
        <v xml:space="preserve">    p12   </v>
      </c>
      <c r="M39" s="416"/>
      <c r="N39" s="416"/>
    </row>
    <row r="40" spans="8:14" ht="22.5" customHeight="1" x14ac:dyDescent="0.35">
      <c r="H40" s="437" t="str">
        <f t="shared" si="1"/>
        <v xml:space="preserve">    p13   </v>
      </c>
      <c r="M40" s="416"/>
      <c r="N40" s="416"/>
    </row>
    <row r="41" spans="8:14" ht="22.5" customHeight="1" x14ac:dyDescent="0.35">
      <c r="H41" s="437" t="str">
        <f t="shared" si="1"/>
        <v xml:space="preserve">    p14   </v>
      </c>
      <c r="M41" s="416"/>
      <c r="N41" s="416"/>
    </row>
    <row r="42" spans="8:14" ht="22.5" customHeight="1" x14ac:dyDescent="0.35">
      <c r="H42" s="437" t="str">
        <f t="shared" si="1"/>
        <v xml:space="preserve">    p15   </v>
      </c>
      <c r="M42" s="416"/>
      <c r="N42" s="416"/>
    </row>
    <row r="43" spans="8:14" ht="22.5" customHeight="1" x14ac:dyDescent="0.35">
      <c r="H43" s="437" t="str">
        <f t="shared" si="1"/>
        <v xml:space="preserve">    p16   </v>
      </c>
      <c r="M43" s="416"/>
      <c r="N43" s="416"/>
    </row>
    <row r="44" spans="8:14" ht="22.5" customHeight="1" x14ac:dyDescent="0.35">
      <c r="H44" s="437" t="str">
        <f t="shared" si="1"/>
        <v xml:space="preserve">    p17   </v>
      </c>
      <c r="M44" s="416"/>
      <c r="N44" s="416"/>
    </row>
    <row r="45" spans="8:14" ht="22.5" customHeight="1" x14ac:dyDescent="0.35">
      <c r="H45" s="437" t="str">
        <f t="shared" si="1"/>
        <v xml:space="preserve">    p18   </v>
      </c>
      <c r="M45" s="416"/>
      <c r="N45" s="416"/>
    </row>
    <row r="46" spans="8:14" ht="22.5" customHeight="1" x14ac:dyDescent="0.35">
      <c r="H46" s="437" t="str">
        <f t="shared" si="1"/>
        <v xml:space="preserve">    p19   </v>
      </c>
      <c r="M46" s="416"/>
      <c r="N46" s="416"/>
    </row>
    <row r="47" spans="8:14" ht="22.5" customHeight="1" x14ac:dyDescent="0.35">
      <c r="H47" s="437" t="str">
        <f t="shared" si="1"/>
        <v xml:space="preserve">    p20   </v>
      </c>
      <c r="M47" s="416"/>
      <c r="N47" s="416"/>
    </row>
    <row r="48" spans="8:14" ht="22.5" customHeight="1" x14ac:dyDescent="0.3">
      <c r="M48" s="416"/>
      <c r="N48" s="416"/>
    </row>
    <row r="49" spans="1:14" ht="22.5" customHeight="1" x14ac:dyDescent="0.3">
      <c r="M49" s="416"/>
      <c r="N49" s="416"/>
    </row>
    <row r="50" spans="1:14" ht="0.9" customHeight="1" x14ac:dyDescent="0.3">
      <c r="A50" s="438"/>
      <c r="M50" s="416"/>
      <c r="N50" s="416"/>
    </row>
    <row r="51" spans="1:14" ht="22.5" customHeight="1" x14ac:dyDescent="0.3">
      <c r="B51" s="97"/>
      <c r="C51" s="97"/>
      <c r="M51" s="416"/>
      <c r="N51" s="416"/>
    </row>
    <row r="52" spans="1:14" ht="22.5" customHeight="1" x14ac:dyDescent="0.3">
      <c r="M52" s="416"/>
      <c r="N52" s="416"/>
    </row>
    <row r="53" spans="1:14" ht="22.5" customHeight="1" x14ac:dyDescent="0.3">
      <c r="M53" s="416"/>
      <c r="N53" s="416"/>
    </row>
    <row r="54" spans="1:14" ht="22.5" customHeight="1" x14ac:dyDescent="0.3">
      <c r="M54" s="416"/>
      <c r="N54" s="416"/>
    </row>
    <row r="55" spans="1:14" ht="22.5" customHeight="1" x14ac:dyDescent="0.3">
      <c r="M55" s="416"/>
      <c r="N55" s="416"/>
    </row>
    <row r="56" spans="1:14" ht="22.5" customHeight="1" x14ac:dyDescent="0.3">
      <c r="M56" s="416"/>
      <c r="N56" s="416"/>
    </row>
    <row r="57" spans="1:14" ht="22.5" customHeight="1" x14ac:dyDescent="0.3">
      <c r="M57" s="416"/>
      <c r="N57" s="416"/>
    </row>
    <row r="58" spans="1:14" ht="22.5" customHeight="1" x14ac:dyDescent="0.3">
      <c r="M58" s="416"/>
      <c r="N58" s="416"/>
    </row>
    <row r="59" spans="1:14" ht="22.5" customHeight="1" x14ac:dyDescent="0.3">
      <c r="M59" s="416"/>
      <c r="N59" s="416"/>
    </row>
    <row r="60" spans="1:14" ht="22.5" customHeight="1" x14ac:dyDescent="0.3">
      <c r="M60" s="416"/>
      <c r="N60" s="416"/>
    </row>
    <row r="61" spans="1:14" ht="22.5" customHeight="1" x14ac:dyDescent="0.3">
      <c r="M61" s="416"/>
      <c r="N61" s="416"/>
    </row>
    <row r="62" spans="1:14" ht="22.5" customHeight="1" x14ac:dyDescent="0.3">
      <c r="M62" s="416"/>
      <c r="N62" s="416"/>
    </row>
    <row r="63" spans="1:14" ht="22.5" customHeight="1" x14ac:dyDescent="0.3">
      <c r="M63" s="416"/>
      <c r="N63" s="416"/>
    </row>
    <row r="64" spans="1:14" ht="22.5" customHeight="1" x14ac:dyDescent="0.3">
      <c r="M64" s="416"/>
      <c r="N64" s="416"/>
    </row>
    <row r="65" spans="7:14" ht="22.5" customHeight="1" x14ac:dyDescent="0.3">
      <c r="M65" s="416"/>
      <c r="N65" s="416"/>
    </row>
    <row r="66" spans="7:14" ht="22.5" customHeight="1" x14ac:dyDescent="0.3">
      <c r="M66" s="416"/>
      <c r="N66" s="416"/>
    </row>
    <row r="67" spans="7:14" ht="22.5" customHeight="1" x14ac:dyDescent="0.3">
      <c r="M67" s="416"/>
      <c r="N67" s="416"/>
    </row>
    <row r="68" spans="7:14" ht="22.5" customHeight="1" x14ac:dyDescent="0.3">
      <c r="M68" s="416"/>
      <c r="N68" s="416"/>
    </row>
    <row r="69" spans="7:14" ht="22.5" customHeight="1" x14ac:dyDescent="0.3">
      <c r="M69" s="416"/>
      <c r="N69" s="416"/>
    </row>
    <row r="71" spans="7:14" x14ac:dyDescent="0.3">
      <c r="M71" s="416"/>
      <c r="N71" s="416"/>
    </row>
    <row r="72" spans="7:14" x14ac:dyDescent="0.3">
      <c r="M72" s="416"/>
      <c r="N72" s="416"/>
    </row>
    <row r="73" spans="7:14" x14ac:dyDescent="0.3">
      <c r="M73" s="416"/>
      <c r="N73" s="416"/>
    </row>
    <row r="74" spans="7:14" x14ac:dyDescent="0.3">
      <c r="M74" s="416"/>
      <c r="N74" s="416"/>
    </row>
    <row r="75" spans="7:14" x14ac:dyDescent="0.3">
      <c r="M75" s="416"/>
    </row>
    <row r="79" spans="7:14" ht="15.6" x14ac:dyDescent="0.3">
      <c r="G79" s="439"/>
    </row>
    <row r="85" spans="5:5" x14ac:dyDescent="0.3">
      <c r="E85" s="427"/>
    </row>
    <row r="86" spans="5:5" x14ac:dyDescent="0.3">
      <c r="E86" s="416"/>
    </row>
    <row r="87" spans="5:5" x14ac:dyDescent="0.3">
      <c r="E87" s="416"/>
    </row>
    <row r="88" spans="5:5" x14ac:dyDescent="0.3">
      <c r="E88" s="416"/>
    </row>
    <row r="89" spans="5:5" x14ac:dyDescent="0.3">
      <c r="E89" s="416"/>
    </row>
    <row r="90" spans="5:5" x14ac:dyDescent="0.3">
      <c r="E90" s="416"/>
    </row>
    <row r="91" spans="5:5" x14ac:dyDescent="0.3">
      <c r="E91" s="416"/>
    </row>
    <row r="92" spans="5:5" x14ac:dyDescent="0.3">
      <c r="E92" s="416"/>
    </row>
    <row r="93" spans="5:5" x14ac:dyDescent="0.3">
      <c r="E93" s="416"/>
    </row>
    <row r="94" spans="5:5" x14ac:dyDescent="0.3">
      <c r="E94" s="416"/>
    </row>
    <row r="95" spans="5:5" x14ac:dyDescent="0.3">
      <c r="E95" s="416"/>
    </row>
    <row r="96" spans="5:5" x14ac:dyDescent="0.3">
      <c r="E96" s="416"/>
    </row>
    <row r="97" spans="5:5" x14ac:dyDescent="0.3">
      <c r="E97" s="416"/>
    </row>
    <row r="98" spans="5:5" x14ac:dyDescent="0.3">
      <c r="E98" s="416"/>
    </row>
    <row r="99" spans="5:5" x14ac:dyDescent="0.3">
      <c r="E99" s="416"/>
    </row>
    <row r="100" spans="5:5" x14ac:dyDescent="0.3">
      <c r="E100" s="416"/>
    </row>
    <row r="101" spans="5:5" x14ac:dyDescent="0.3">
      <c r="E101" s="416"/>
    </row>
    <row r="102" spans="5:5" x14ac:dyDescent="0.3">
      <c r="E102" s="416"/>
    </row>
    <row r="103" spans="5:5" x14ac:dyDescent="0.3">
      <c r="E103" s="416"/>
    </row>
    <row r="104" spans="5:5" x14ac:dyDescent="0.3">
      <c r="E104" s="416"/>
    </row>
  </sheetData>
  <sheetProtection sheet="1" objects="1" scenarios="1" formatCells="0" formatColumns="0" formatRows="0" insertHyperlinks="0" selectLockedCells="1" sort="0" autoFilter="0"/>
  <conditionalFormatting sqref="B5:I24">
    <cfRule type="expression" dxfId="70" priority="7">
      <formula>MOD(ROW(A1),2)=0</formula>
    </cfRule>
    <cfRule type="expression" dxfId="69" priority="8">
      <formula>MOD(ROW(A2),2)=0</formula>
    </cfRule>
  </conditionalFormatting>
  <conditionalFormatting sqref="E5:E24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F5:F24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5:G24">
    <cfRule type="iconSet" priority="4">
      <iconSet iconSet="3Signs" showValue="0" reverse="1">
        <cfvo type="percent" val="0"/>
        <cfvo type="num" val="2"/>
        <cfvo type="num" val="3"/>
      </iconSet>
    </cfRule>
  </conditionalFormatting>
  <dataValidations count="2">
    <dataValidation type="list" allowBlank="1" showInputMessage="1" showErrorMessage="1" sqref="E5:F24 D55:F69" xr:uid="{00000000-0002-0000-1400-000000000000}">
      <formula1>"1,2,3,4,5,6,7,8,9,10"</formula1>
    </dataValidation>
    <dataValidation type="list" allowBlank="1" showInputMessage="1" showErrorMessage="1" sqref="I5:I24 G5:G24 I54:I69 G26:G69" xr:uid="{00000000-0002-0000-1400-000001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rowBreaks count="1" manualBreakCount="1">
    <brk id="25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687" id="{5413A360-1867-4AD2-BE98-5A5F45481C78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E26:E69</xm:sqref>
        </x14:conditionalFormatting>
        <x14:conditionalFormatting xmlns:xm="http://schemas.microsoft.com/office/excel/2006/main">
          <x14:cfRule type="iconSet" priority="9" id="{36C3186A-65F7-4245-BC0D-56D6B1FC7603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E71:E5164 E25</xm:sqref>
        </x14:conditionalFormatting>
        <x14:conditionalFormatting xmlns:xm="http://schemas.microsoft.com/office/excel/2006/main">
          <x14:cfRule type="iconSet" priority="5" id="{3DE2ACDA-6CFB-4328-99DC-358B27252A85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I5:I24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0" tint="-0.499984740745262"/>
  </sheetPr>
  <dimension ref="A1:O93"/>
  <sheetViews>
    <sheetView showGridLines="0" zoomScaleNormal="100" workbookViewId="0">
      <pane ySplit="6" topLeftCell="A7" activePane="bottomLeft" state="frozen"/>
      <selection activeCell="N13" sqref="N13"/>
      <selection pane="bottomLeft" activeCell="A2" sqref="A2"/>
    </sheetView>
  </sheetViews>
  <sheetFormatPr baseColWidth="10" defaultColWidth="11.44140625" defaultRowHeight="18.75" customHeight="1" x14ac:dyDescent="0.3"/>
  <cols>
    <col min="1" max="1" width="6" style="352" customWidth="1"/>
    <col min="2" max="2" width="3.6640625" style="403" bestFit="1" customWidth="1"/>
    <col min="3" max="3" width="27.6640625" style="357" customWidth="1"/>
    <col min="4" max="4" width="3.33203125" style="404" customWidth="1"/>
    <col min="5" max="5" width="28.33203125" style="357" customWidth="1"/>
    <col min="6" max="6" width="7.109375" style="408" bestFit="1" customWidth="1"/>
    <col min="7" max="7" width="4.5546875" style="409" customWidth="1"/>
    <col min="8" max="8" width="3.33203125" style="403" customWidth="1"/>
    <col min="9" max="9" width="41.5546875" style="357" customWidth="1"/>
    <col min="10" max="10" width="3.109375" style="357" bestFit="1" customWidth="1"/>
    <col min="11" max="13" width="10.33203125" style="357" bestFit="1" customWidth="1"/>
    <col min="14" max="14" width="4.5546875" style="409" customWidth="1"/>
    <col min="15" max="15" width="3.88671875" style="359" customWidth="1"/>
    <col min="16" max="35" width="3.88671875" style="154" customWidth="1"/>
    <col min="36" max="16384" width="11.44140625" style="154"/>
  </cols>
  <sheetData>
    <row r="1" spans="1:15" s="80" customFormat="1" ht="45" customHeight="1" x14ac:dyDescent="0.3">
      <c r="A1" s="132"/>
      <c r="B1" s="132"/>
      <c r="C1" s="343" t="str">
        <f ca="1">' '!A368</f>
        <v>C O C K P I T  C H A N G E   M A N A G E M E N T</v>
      </c>
      <c r="D1" s="344"/>
      <c r="E1" s="81"/>
      <c r="F1" s="81"/>
      <c r="G1" s="81"/>
      <c r="H1" s="81"/>
      <c r="I1" s="345"/>
      <c r="J1" s="345"/>
      <c r="K1" s="81"/>
      <c r="L1" s="81"/>
      <c r="M1" s="81"/>
      <c r="N1" s="82"/>
      <c r="O1" s="179"/>
    </row>
    <row r="2" spans="1:15" s="80" customFormat="1" ht="0.9" customHeight="1" x14ac:dyDescent="0.3">
      <c r="A2" s="346"/>
      <c r="B2" s="215"/>
      <c r="C2" s="83"/>
      <c r="D2" s="347"/>
      <c r="E2" s="83"/>
      <c r="F2" s="83"/>
      <c r="G2" s="83"/>
      <c r="H2" s="83"/>
      <c r="I2" s="97"/>
      <c r="J2" s="97"/>
      <c r="K2" s="83"/>
      <c r="L2" s="83"/>
      <c r="M2" s="83"/>
      <c r="N2" s="135"/>
      <c r="O2" s="179"/>
    </row>
    <row r="3" spans="1:15" s="97" customFormat="1" ht="20.25" customHeight="1" x14ac:dyDescent="0.3">
      <c r="A3" s="348"/>
      <c r="B3" s="349"/>
      <c r="C3" s="87"/>
      <c r="D3" s="350"/>
      <c r="E3" s="349"/>
      <c r="F3" s="349"/>
      <c r="N3" s="66"/>
      <c r="O3" s="351"/>
    </row>
    <row r="4" spans="1:15" ht="6" customHeight="1" x14ac:dyDescent="0.3">
      <c r="B4" s="353"/>
      <c r="C4" s="353"/>
      <c r="D4" s="354"/>
      <c r="E4" s="353"/>
      <c r="F4" s="353"/>
      <c r="G4" s="355"/>
      <c r="H4" s="356"/>
      <c r="N4" s="358"/>
    </row>
    <row r="5" spans="1:15" s="372" customFormat="1" ht="18.75" customHeight="1" x14ac:dyDescent="0.3">
      <c r="A5" s="360"/>
      <c r="B5" s="361" t="str">
        <f ca="1">' '!A347</f>
        <v>Nr.</v>
      </c>
      <c r="C5" s="362" t="str">
        <f ca="1">' '!A355</f>
        <v>Ziele</v>
      </c>
      <c r="D5" s="363" t="str">
        <f ca="1">B5</f>
        <v>Nr.</v>
      </c>
      <c r="E5" s="364" t="str">
        <f ca="1">' '!A356</f>
        <v>Indikatoren</v>
      </c>
      <c r="F5" s="365" t="str">
        <f ca="1">' '!A352</f>
        <v>erreicht</v>
      </c>
      <c r="G5" s="366"/>
      <c r="H5" s="363" t="str">
        <f ca="1">B5</f>
        <v>Nr.</v>
      </c>
      <c r="I5" s="367" t="str">
        <f ca="1">' '!A357</f>
        <v>Projekte</v>
      </c>
      <c r="J5" s="368" t="s">
        <v>1979</v>
      </c>
      <c r="K5" s="369" t="str">
        <f ca="1">' '!A361</f>
        <v>Wer?</v>
      </c>
      <c r="L5" s="369" t="str">
        <f ca="1">' '!A359</f>
        <v>Beginn</v>
      </c>
      <c r="M5" s="369" t="str">
        <f ca="1">' '!A360</f>
        <v>Ende</v>
      </c>
      <c r="N5" s="370"/>
      <c r="O5" s="371"/>
    </row>
    <row r="6" spans="1:15" s="382" customFormat="1" ht="9" customHeight="1" x14ac:dyDescent="0.25">
      <c r="A6" s="373"/>
      <c r="B6" s="374"/>
      <c r="C6" s="375"/>
      <c r="D6" s="376"/>
      <c r="E6" s="375"/>
      <c r="F6" s="377"/>
      <c r="G6" s="377"/>
      <c r="H6" s="374"/>
      <c r="I6" s="378"/>
      <c r="J6" s="379"/>
      <c r="K6" s="378"/>
      <c r="L6" s="378"/>
      <c r="M6" s="378"/>
      <c r="N6" s="380"/>
      <c r="O6" s="381"/>
    </row>
    <row r="7" spans="1:15" ht="15.6" x14ac:dyDescent="0.3">
      <c r="B7" s="374">
        <v>1</v>
      </c>
      <c r="C7" s="1080" t="str">
        <f>IF(Massnahmen!C7&lt;&gt;"",Massnahmen!C7,"")</f>
        <v>Ziel 1</v>
      </c>
      <c r="D7" s="1052" t="s">
        <v>1899</v>
      </c>
      <c r="E7" s="1081" t="str">
        <f>IF(Massnahmen!E7&lt;&gt;"",Massnahmen!E7,"")</f>
        <v>Indikator 1</v>
      </c>
      <c r="F7" s="1047">
        <f>Massnahmen!I7</f>
        <v>0.5</v>
      </c>
      <c r="G7" s="1079">
        <f>Massnahmen!L7</f>
        <v>3</v>
      </c>
      <c r="H7" s="383" t="s">
        <v>1414</v>
      </c>
      <c r="I7" s="384" t="s">
        <v>694</v>
      </c>
      <c r="J7" s="385">
        <v>1</v>
      </c>
      <c r="K7" s="386"/>
      <c r="L7" s="386"/>
      <c r="M7" s="386"/>
      <c r="N7" s="387">
        <v>3</v>
      </c>
      <c r="O7" s="179"/>
    </row>
    <row r="8" spans="1:15" ht="15.6" x14ac:dyDescent="0.3">
      <c r="B8" s="388">
        <v>1</v>
      </c>
      <c r="C8" s="1080"/>
      <c r="D8" s="1052"/>
      <c r="E8" s="1082"/>
      <c r="F8" s="1047"/>
      <c r="G8" s="1057"/>
      <c r="H8" s="383" t="s">
        <v>1415</v>
      </c>
      <c r="I8" s="389"/>
      <c r="J8" s="385">
        <v>2</v>
      </c>
      <c r="K8" s="386"/>
      <c r="L8" s="386"/>
      <c r="M8" s="386"/>
      <c r="N8" s="387"/>
      <c r="O8" s="179"/>
    </row>
    <row r="9" spans="1:15" ht="15.6" x14ac:dyDescent="0.3">
      <c r="B9" s="388">
        <v>1</v>
      </c>
      <c r="C9" s="1080"/>
      <c r="D9" s="1052" t="s">
        <v>1900</v>
      </c>
      <c r="E9" s="1078" t="str">
        <f>IF(Massnahmen!E9&lt;&gt;"",Massnahmen!E9,"")</f>
        <v/>
      </c>
      <c r="F9" s="1047">
        <f>Massnahmen!I9</f>
        <v>0</v>
      </c>
      <c r="G9" s="1079" t="str">
        <f>Massnahmen!L9</f>
        <v/>
      </c>
      <c r="H9" s="383" t="s">
        <v>1416</v>
      </c>
      <c r="I9" s="389"/>
      <c r="J9" s="385">
        <v>3</v>
      </c>
      <c r="K9" s="386"/>
      <c r="L9" s="386"/>
      <c r="M9" s="386"/>
      <c r="N9" s="387"/>
      <c r="O9" s="179"/>
    </row>
    <row r="10" spans="1:15" ht="15.6" x14ac:dyDescent="0.3">
      <c r="B10" s="388">
        <v>1</v>
      </c>
      <c r="C10" s="1080"/>
      <c r="D10" s="1052"/>
      <c r="E10" s="1078"/>
      <c r="F10" s="1047"/>
      <c r="G10" s="1057"/>
      <c r="H10" s="383" t="s">
        <v>1417</v>
      </c>
      <c r="I10" s="389"/>
      <c r="J10" s="385"/>
      <c r="K10" s="386"/>
      <c r="L10" s="386"/>
      <c r="M10" s="386"/>
      <c r="N10" s="387"/>
      <c r="O10" s="179"/>
    </row>
    <row r="11" spans="1:15" ht="15.6" x14ac:dyDescent="0.3">
      <c r="B11" s="388">
        <v>1</v>
      </c>
      <c r="C11" s="1080"/>
      <c r="D11" s="1052" t="s">
        <v>1901</v>
      </c>
      <c r="E11" s="1077" t="str">
        <f>IF(Massnahmen!E11&lt;&gt;"",Massnahmen!E11,"")</f>
        <v/>
      </c>
      <c r="F11" s="1047">
        <f>Massnahmen!I11</f>
        <v>0</v>
      </c>
      <c r="G11" s="1079" t="str">
        <f>Massnahmen!L11</f>
        <v/>
      </c>
      <c r="H11" s="383" t="s">
        <v>1418</v>
      </c>
      <c r="I11" s="389"/>
      <c r="J11" s="385"/>
      <c r="K11" s="386"/>
      <c r="L11" s="386"/>
      <c r="M11" s="386"/>
      <c r="N11" s="387"/>
      <c r="O11" s="179"/>
    </row>
    <row r="12" spans="1:15" ht="15.6" x14ac:dyDescent="0.3">
      <c r="B12" s="388">
        <v>1</v>
      </c>
      <c r="C12" s="1080"/>
      <c r="D12" s="1052"/>
      <c r="E12" s="1078"/>
      <c r="F12" s="1047"/>
      <c r="G12" s="1057"/>
      <c r="H12" s="383" t="s">
        <v>1419</v>
      </c>
      <c r="I12" s="389"/>
      <c r="J12" s="385"/>
      <c r="K12" s="386"/>
      <c r="L12" s="386"/>
      <c r="M12" s="386"/>
      <c r="N12" s="387"/>
      <c r="O12" s="179"/>
    </row>
    <row r="13" spans="1:15" ht="15.6" x14ac:dyDescent="0.3">
      <c r="B13" s="388">
        <v>1</v>
      </c>
      <c r="C13" s="1080"/>
      <c r="D13" s="1052" t="s">
        <v>1902</v>
      </c>
      <c r="E13" s="1078" t="str">
        <f>IF(Massnahmen!E13&lt;&gt;"",Massnahmen!E13,"")</f>
        <v/>
      </c>
      <c r="F13" s="1047">
        <f>Massnahmen!I13</f>
        <v>0</v>
      </c>
      <c r="G13" s="1079" t="str">
        <f>Massnahmen!L13</f>
        <v/>
      </c>
      <c r="H13" s="383" t="s">
        <v>1420</v>
      </c>
      <c r="I13" s="389"/>
      <c r="J13" s="385"/>
      <c r="K13" s="386"/>
      <c r="L13" s="386"/>
      <c r="M13" s="386"/>
      <c r="N13" s="387"/>
      <c r="O13" s="179"/>
    </row>
    <row r="14" spans="1:15" ht="15.6" x14ac:dyDescent="0.3">
      <c r="B14" s="388">
        <v>1</v>
      </c>
      <c r="C14" s="1080"/>
      <c r="D14" s="1052"/>
      <c r="E14" s="1078"/>
      <c r="F14" s="1058"/>
      <c r="G14" s="1057"/>
      <c r="H14" s="383" t="s">
        <v>1421</v>
      </c>
      <c r="I14" s="389"/>
      <c r="J14" s="385"/>
      <c r="K14" s="386"/>
      <c r="L14" s="386"/>
      <c r="M14" s="386"/>
      <c r="N14" s="387"/>
      <c r="O14" s="179"/>
    </row>
    <row r="15" spans="1:15" ht="15.6" x14ac:dyDescent="0.3">
      <c r="B15" s="374">
        <v>2</v>
      </c>
      <c r="C15" s="1086" t="str">
        <f>IF(Massnahmen!C15&lt;&gt;"",Massnahmen!C15,"")</f>
        <v>Ziel 2</v>
      </c>
      <c r="D15" s="1052" t="s">
        <v>1903</v>
      </c>
      <c r="E15" s="1078" t="str">
        <f>IF(Massnahmen!E15&lt;&gt;"",Massnahmen!E15,"")</f>
        <v/>
      </c>
      <c r="F15" s="1064">
        <f>Massnahmen!I15</f>
        <v>0</v>
      </c>
      <c r="G15" s="1085" t="str">
        <f>Massnahmen!L15</f>
        <v/>
      </c>
      <c r="H15" s="383" t="s">
        <v>1422</v>
      </c>
      <c r="I15" s="390"/>
      <c r="J15" s="391"/>
      <c r="K15" s="392"/>
      <c r="L15" s="392"/>
      <c r="M15" s="392"/>
      <c r="N15" s="393"/>
      <c r="O15" s="179"/>
    </row>
    <row r="16" spans="1:15" ht="15.6" x14ac:dyDescent="0.3">
      <c r="B16" s="388">
        <v>2</v>
      </c>
      <c r="C16" s="1086"/>
      <c r="D16" s="1052"/>
      <c r="E16" s="1078"/>
      <c r="F16" s="1064"/>
      <c r="G16" s="1073"/>
      <c r="H16" s="383" t="s">
        <v>1423</v>
      </c>
      <c r="I16" s="390"/>
      <c r="J16" s="391"/>
      <c r="K16" s="392"/>
      <c r="L16" s="392"/>
      <c r="M16" s="392"/>
      <c r="N16" s="393"/>
      <c r="O16" s="179"/>
    </row>
    <row r="17" spans="2:15" ht="24" customHeight="1" x14ac:dyDescent="0.3">
      <c r="B17" s="388">
        <v>2</v>
      </c>
      <c r="C17" s="1086"/>
      <c r="D17" s="1052" t="s">
        <v>1904</v>
      </c>
      <c r="E17" s="1084" t="str">
        <f>IF(Massnahmen!E17&lt;&gt;"",Massnahmen!E17,"")</f>
        <v/>
      </c>
      <c r="F17" s="1064">
        <f>Massnahmen!I17</f>
        <v>0</v>
      </c>
      <c r="G17" s="1085" t="str">
        <f>Massnahmen!L17</f>
        <v/>
      </c>
      <c r="H17" s="383" t="s">
        <v>1424</v>
      </c>
      <c r="I17" s="390"/>
      <c r="J17" s="391"/>
      <c r="K17" s="392"/>
      <c r="L17" s="392"/>
      <c r="M17" s="392"/>
      <c r="N17" s="393"/>
      <c r="O17" s="179"/>
    </row>
    <row r="18" spans="2:15" ht="24" customHeight="1" x14ac:dyDescent="0.3">
      <c r="B18" s="388">
        <v>2</v>
      </c>
      <c r="C18" s="1086"/>
      <c r="D18" s="1052"/>
      <c r="E18" s="1084"/>
      <c r="F18" s="1064"/>
      <c r="G18" s="1073"/>
      <c r="H18" s="383" t="s">
        <v>1425</v>
      </c>
      <c r="I18" s="390"/>
      <c r="J18" s="391"/>
      <c r="K18" s="392"/>
      <c r="L18" s="392"/>
      <c r="M18" s="392"/>
      <c r="N18" s="393"/>
      <c r="O18" s="179"/>
    </row>
    <row r="19" spans="2:15" ht="24" customHeight="1" x14ac:dyDescent="0.3">
      <c r="B19" s="388">
        <v>2</v>
      </c>
      <c r="C19" s="1086"/>
      <c r="D19" s="1052" t="s">
        <v>1905</v>
      </c>
      <c r="E19" s="1083" t="str">
        <f>IF(Massnahmen!E19&lt;&gt;"",Massnahmen!E19,"")</f>
        <v/>
      </c>
      <c r="F19" s="1064">
        <f>Massnahmen!I19</f>
        <v>0</v>
      </c>
      <c r="G19" s="1085" t="str">
        <f>Massnahmen!L19</f>
        <v/>
      </c>
      <c r="H19" s="383" t="s">
        <v>1426</v>
      </c>
      <c r="I19" s="390"/>
      <c r="J19" s="391"/>
      <c r="K19" s="392"/>
      <c r="L19" s="392"/>
      <c r="M19" s="392"/>
      <c r="N19" s="393"/>
      <c r="O19" s="179"/>
    </row>
    <row r="20" spans="2:15" ht="24" customHeight="1" x14ac:dyDescent="0.3">
      <c r="B20" s="388">
        <v>2</v>
      </c>
      <c r="C20" s="1086"/>
      <c r="D20" s="1052"/>
      <c r="E20" s="1084"/>
      <c r="F20" s="1064"/>
      <c r="G20" s="1073"/>
      <c r="H20" s="383" t="s">
        <v>1427</v>
      </c>
      <c r="I20" s="390"/>
      <c r="J20" s="391"/>
      <c r="K20" s="392"/>
      <c r="L20" s="392"/>
      <c r="M20" s="392"/>
      <c r="N20" s="393"/>
      <c r="O20" s="179"/>
    </row>
    <row r="21" spans="2:15" ht="24" customHeight="1" x14ac:dyDescent="0.3">
      <c r="B21" s="388">
        <v>2</v>
      </c>
      <c r="C21" s="1086"/>
      <c r="D21" s="1052" t="s">
        <v>1906</v>
      </c>
      <c r="E21" s="1084" t="str">
        <f>IF(Massnahmen!E21&lt;&gt;"",Massnahmen!E21,"")</f>
        <v/>
      </c>
      <c r="F21" s="1064">
        <f>Massnahmen!I21</f>
        <v>0</v>
      </c>
      <c r="G21" s="1085" t="str">
        <f>Massnahmen!L21</f>
        <v/>
      </c>
      <c r="H21" s="383" t="s">
        <v>1428</v>
      </c>
      <c r="I21" s="390"/>
      <c r="J21" s="391"/>
      <c r="K21" s="392"/>
      <c r="L21" s="392"/>
      <c r="M21" s="392"/>
      <c r="N21" s="393"/>
      <c r="O21" s="179"/>
    </row>
    <row r="22" spans="2:15" ht="24" customHeight="1" x14ac:dyDescent="0.3">
      <c r="B22" s="388">
        <v>2</v>
      </c>
      <c r="C22" s="1086"/>
      <c r="D22" s="1052"/>
      <c r="E22" s="1084"/>
      <c r="F22" s="1074"/>
      <c r="G22" s="1073"/>
      <c r="H22" s="383" t="s">
        <v>1429</v>
      </c>
      <c r="I22" s="390"/>
      <c r="J22" s="391"/>
      <c r="K22" s="392"/>
      <c r="L22" s="392"/>
      <c r="M22" s="392"/>
      <c r="N22" s="393"/>
      <c r="O22" s="179"/>
    </row>
    <row r="23" spans="2:15" ht="24" customHeight="1" x14ac:dyDescent="0.3">
      <c r="B23" s="374">
        <v>3</v>
      </c>
      <c r="C23" s="1080" t="str">
        <f>IF(Massnahmen!C23&lt;&gt;"",Massnahmen!C23,"")</f>
        <v>Ziel 3</v>
      </c>
      <c r="D23" s="1052" t="s">
        <v>1907</v>
      </c>
      <c r="E23" s="1081" t="str">
        <f>IF(Massnahmen!E23&lt;&gt;"",Massnahmen!E23,"")</f>
        <v/>
      </c>
      <c r="F23" s="1047">
        <f>Massnahmen!I23</f>
        <v>0</v>
      </c>
      <c r="G23" s="1079" t="str">
        <f>Massnahmen!L23</f>
        <v/>
      </c>
      <c r="H23" s="383" t="s">
        <v>1430</v>
      </c>
      <c r="I23" s="389"/>
      <c r="J23" s="385"/>
      <c r="K23" s="386"/>
      <c r="L23" s="386"/>
      <c r="M23" s="386"/>
      <c r="N23" s="387"/>
      <c r="O23" s="179"/>
    </row>
    <row r="24" spans="2:15" ht="24" customHeight="1" x14ac:dyDescent="0.3">
      <c r="B24" s="388">
        <v>3</v>
      </c>
      <c r="C24" s="1080"/>
      <c r="D24" s="1052"/>
      <c r="E24" s="1082"/>
      <c r="F24" s="1047"/>
      <c r="G24" s="1057"/>
      <c r="H24" s="383" t="s">
        <v>1431</v>
      </c>
      <c r="I24" s="389"/>
      <c r="J24" s="385"/>
      <c r="K24" s="386"/>
      <c r="L24" s="386"/>
      <c r="M24" s="386"/>
      <c r="N24" s="387"/>
      <c r="O24" s="179"/>
    </row>
    <row r="25" spans="2:15" ht="24" customHeight="1" x14ac:dyDescent="0.3">
      <c r="B25" s="388">
        <v>3</v>
      </c>
      <c r="C25" s="1080"/>
      <c r="D25" s="1052" t="s">
        <v>1908</v>
      </c>
      <c r="E25" s="1078" t="str">
        <f>IF(Massnahmen!E25&lt;&gt;"",Massnahmen!E25,"")</f>
        <v/>
      </c>
      <c r="F25" s="1047">
        <f>Massnahmen!I25</f>
        <v>0</v>
      </c>
      <c r="G25" s="1079" t="str">
        <f>Massnahmen!L25</f>
        <v/>
      </c>
      <c r="H25" s="383" t="s">
        <v>1432</v>
      </c>
      <c r="I25" s="389"/>
      <c r="J25" s="385"/>
      <c r="K25" s="386"/>
      <c r="L25" s="386"/>
      <c r="M25" s="386"/>
      <c r="N25" s="387"/>
      <c r="O25" s="179"/>
    </row>
    <row r="26" spans="2:15" ht="24" customHeight="1" x14ac:dyDescent="0.3">
      <c r="B26" s="388">
        <v>3</v>
      </c>
      <c r="C26" s="1080"/>
      <c r="D26" s="1052"/>
      <c r="E26" s="1078"/>
      <c r="F26" s="1047"/>
      <c r="G26" s="1057"/>
      <c r="H26" s="383" t="s">
        <v>1433</v>
      </c>
      <c r="I26" s="389"/>
      <c r="J26" s="385"/>
      <c r="K26" s="386"/>
      <c r="L26" s="386"/>
      <c r="M26" s="386"/>
      <c r="N26" s="387"/>
      <c r="O26" s="179"/>
    </row>
    <row r="27" spans="2:15" ht="24" customHeight="1" x14ac:dyDescent="0.3">
      <c r="B27" s="388">
        <v>3</v>
      </c>
      <c r="C27" s="1080"/>
      <c r="D27" s="1052" t="s">
        <v>1909</v>
      </c>
      <c r="E27" s="1077" t="str">
        <f>IF(Massnahmen!E27&lt;&gt;"",Massnahmen!E27,"")</f>
        <v/>
      </c>
      <c r="F27" s="1047">
        <f>Massnahmen!I27</f>
        <v>0</v>
      </c>
      <c r="G27" s="1079" t="str">
        <f>Massnahmen!L27</f>
        <v/>
      </c>
      <c r="H27" s="383" t="s">
        <v>1980</v>
      </c>
      <c r="I27" s="389"/>
      <c r="J27" s="385"/>
      <c r="K27" s="386"/>
      <c r="L27" s="386"/>
      <c r="M27" s="386"/>
      <c r="N27" s="387"/>
      <c r="O27" s="179"/>
    </row>
    <row r="28" spans="2:15" ht="24" customHeight="1" x14ac:dyDescent="0.3">
      <c r="B28" s="388">
        <v>3</v>
      </c>
      <c r="C28" s="1080"/>
      <c r="D28" s="1052"/>
      <c r="E28" s="1078"/>
      <c r="F28" s="1047"/>
      <c r="G28" s="1057"/>
      <c r="H28" s="383" t="s">
        <v>1981</v>
      </c>
      <c r="I28" s="389"/>
      <c r="J28" s="385"/>
      <c r="K28" s="386"/>
      <c r="L28" s="386"/>
      <c r="M28" s="386"/>
      <c r="N28" s="387"/>
      <c r="O28" s="179"/>
    </row>
    <row r="29" spans="2:15" ht="24" customHeight="1" x14ac:dyDescent="0.3">
      <c r="B29" s="388">
        <v>3</v>
      </c>
      <c r="C29" s="1080"/>
      <c r="D29" s="1052" t="s">
        <v>1910</v>
      </c>
      <c r="E29" s="1078" t="str">
        <f>IF(Massnahmen!E29&lt;&gt;"",Massnahmen!E29,"")</f>
        <v/>
      </c>
      <c r="F29" s="1047">
        <f>Massnahmen!I29</f>
        <v>0</v>
      </c>
      <c r="G29" s="1079" t="str">
        <f>Massnahmen!L29</f>
        <v/>
      </c>
      <c r="H29" s="383" t="s">
        <v>1982</v>
      </c>
      <c r="I29" s="389"/>
      <c r="J29" s="385"/>
      <c r="K29" s="386"/>
      <c r="L29" s="386"/>
      <c r="M29" s="386"/>
      <c r="N29" s="387"/>
      <c r="O29" s="179"/>
    </row>
    <row r="30" spans="2:15" ht="24" customHeight="1" x14ac:dyDescent="0.3">
      <c r="B30" s="388">
        <v>3</v>
      </c>
      <c r="C30" s="1080"/>
      <c r="D30" s="1052"/>
      <c r="E30" s="1078"/>
      <c r="F30" s="1058"/>
      <c r="G30" s="1057"/>
      <c r="H30" s="383" t="s">
        <v>1983</v>
      </c>
      <c r="I30" s="389"/>
      <c r="J30" s="385"/>
      <c r="K30" s="386"/>
      <c r="L30" s="386"/>
      <c r="M30" s="386"/>
      <c r="N30" s="387"/>
      <c r="O30" s="179"/>
    </row>
    <row r="31" spans="2:15" ht="24" customHeight="1" x14ac:dyDescent="0.3">
      <c r="B31" s="374">
        <v>4</v>
      </c>
      <c r="C31" s="1086">
        <f>IF(Massnahmen!C31&lt;&gt;"",Massnahmen!C31,"")</f>
        <v>4</v>
      </c>
      <c r="D31" s="1052" t="s">
        <v>1911</v>
      </c>
      <c r="E31" s="1087" t="str">
        <f>IF(Massnahmen!E31&lt;&gt;"",Massnahmen!E31,"")</f>
        <v/>
      </c>
      <c r="F31" s="1064">
        <f>Massnahmen!I31</f>
        <v>0</v>
      </c>
      <c r="G31" s="1085" t="str">
        <f>Massnahmen!L31</f>
        <v/>
      </c>
      <c r="H31" s="383" t="s">
        <v>1984</v>
      </c>
      <c r="I31" s="390"/>
      <c r="J31" s="391"/>
      <c r="K31" s="392"/>
      <c r="L31" s="392"/>
      <c r="M31" s="392"/>
      <c r="N31" s="393"/>
      <c r="O31" s="179"/>
    </row>
    <row r="32" spans="2:15" ht="24" customHeight="1" x14ac:dyDescent="0.3">
      <c r="B32" s="388">
        <v>4</v>
      </c>
      <c r="C32" s="1086"/>
      <c r="D32" s="1052"/>
      <c r="E32" s="1088"/>
      <c r="F32" s="1064"/>
      <c r="G32" s="1073"/>
      <c r="H32" s="383" t="s">
        <v>1985</v>
      </c>
      <c r="I32" s="390"/>
      <c r="J32" s="391"/>
      <c r="K32" s="392"/>
      <c r="L32" s="392"/>
      <c r="M32" s="392"/>
      <c r="N32" s="393"/>
      <c r="O32" s="179"/>
    </row>
    <row r="33" spans="2:15" ht="24" customHeight="1" x14ac:dyDescent="0.3">
      <c r="B33" s="388">
        <v>4</v>
      </c>
      <c r="C33" s="1086"/>
      <c r="D33" s="1052" t="s">
        <v>1912</v>
      </c>
      <c r="E33" s="1084" t="str">
        <f>IF(Massnahmen!E33&lt;&gt;"",Massnahmen!E33,"")</f>
        <v/>
      </c>
      <c r="F33" s="1064">
        <f>Massnahmen!I33</f>
        <v>0</v>
      </c>
      <c r="G33" s="1085" t="str">
        <f>Massnahmen!L33</f>
        <v/>
      </c>
      <c r="H33" s="383" t="s">
        <v>1986</v>
      </c>
      <c r="I33" s="390"/>
      <c r="J33" s="391"/>
      <c r="K33" s="392"/>
      <c r="L33" s="392"/>
      <c r="M33" s="392"/>
      <c r="N33" s="393"/>
      <c r="O33" s="179"/>
    </row>
    <row r="34" spans="2:15" ht="24" customHeight="1" x14ac:dyDescent="0.3">
      <c r="B34" s="388">
        <v>4</v>
      </c>
      <c r="C34" s="1086"/>
      <c r="D34" s="1052"/>
      <c r="E34" s="1084"/>
      <c r="F34" s="1064"/>
      <c r="G34" s="1073"/>
      <c r="H34" s="383" t="s">
        <v>1987</v>
      </c>
      <c r="I34" s="390"/>
      <c r="J34" s="391"/>
      <c r="K34" s="392"/>
      <c r="L34" s="392"/>
      <c r="M34" s="392"/>
      <c r="N34" s="393"/>
      <c r="O34" s="179"/>
    </row>
    <row r="35" spans="2:15" ht="24" customHeight="1" x14ac:dyDescent="0.3">
      <c r="B35" s="388">
        <v>4</v>
      </c>
      <c r="C35" s="1086"/>
      <c r="D35" s="1052" t="s">
        <v>1913</v>
      </c>
      <c r="E35" s="1083" t="str">
        <f>IF(Massnahmen!E35&lt;&gt;"",Massnahmen!E35,"")</f>
        <v/>
      </c>
      <c r="F35" s="1064">
        <f>Massnahmen!I35</f>
        <v>0</v>
      </c>
      <c r="G35" s="1085" t="str">
        <f>Massnahmen!L35</f>
        <v/>
      </c>
      <c r="H35" s="383" t="s">
        <v>1988</v>
      </c>
      <c r="I35" s="390"/>
      <c r="J35" s="391"/>
      <c r="K35" s="392"/>
      <c r="L35" s="392"/>
      <c r="M35" s="392"/>
      <c r="N35" s="393"/>
      <c r="O35" s="179"/>
    </row>
    <row r="36" spans="2:15" ht="24" customHeight="1" x14ac:dyDescent="0.3">
      <c r="B36" s="388">
        <v>4</v>
      </c>
      <c r="C36" s="1086"/>
      <c r="D36" s="1052"/>
      <c r="E36" s="1084"/>
      <c r="F36" s="1064"/>
      <c r="G36" s="1073"/>
      <c r="H36" s="383" t="s">
        <v>1989</v>
      </c>
      <c r="I36" s="390"/>
      <c r="J36" s="391"/>
      <c r="K36" s="392"/>
      <c r="L36" s="392"/>
      <c r="M36" s="392"/>
      <c r="N36" s="393"/>
      <c r="O36" s="179"/>
    </row>
    <row r="37" spans="2:15" ht="24" customHeight="1" x14ac:dyDescent="0.3">
      <c r="B37" s="388">
        <v>4</v>
      </c>
      <c r="C37" s="1086"/>
      <c r="D37" s="1052" t="s">
        <v>1914</v>
      </c>
      <c r="E37" s="1084" t="str">
        <f>IF(Massnahmen!E37&lt;&gt;"",Massnahmen!E37,"")</f>
        <v/>
      </c>
      <c r="F37" s="1064">
        <f>Massnahmen!I37</f>
        <v>0</v>
      </c>
      <c r="G37" s="1085" t="str">
        <f>Massnahmen!L37</f>
        <v/>
      </c>
      <c r="H37" s="383" t="s">
        <v>1990</v>
      </c>
      <c r="I37" s="390"/>
      <c r="J37" s="391"/>
      <c r="K37" s="392"/>
      <c r="L37" s="392"/>
      <c r="M37" s="392"/>
      <c r="N37" s="393"/>
      <c r="O37" s="179"/>
    </row>
    <row r="38" spans="2:15" ht="24" customHeight="1" x14ac:dyDescent="0.3">
      <c r="B38" s="388">
        <v>4</v>
      </c>
      <c r="C38" s="1086"/>
      <c r="D38" s="1052"/>
      <c r="E38" s="1084"/>
      <c r="F38" s="1074"/>
      <c r="G38" s="1073"/>
      <c r="H38" s="383" t="s">
        <v>1991</v>
      </c>
      <c r="I38" s="390"/>
      <c r="J38" s="391"/>
      <c r="K38" s="392"/>
      <c r="L38" s="392"/>
      <c r="M38" s="392"/>
      <c r="N38" s="393"/>
      <c r="O38" s="179"/>
    </row>
    <row r="39" spans="2:15" ht="24" customHeight="1" x14ac:dyDescent="0.3">
      <c r="B39" s="374">
        <v>5</v>
      </c>
      <c r="C39" s="1080">
        <f>IF(Massnahmen!C39&lt;&gt;"",Massnahmen!C39,"")</f>
        <v>5</v>
      </c>
      <c r="D39" s="1052" t="s">
        <v>1915</v>
      </c>
      <c r="E39" s="1081" t="str">
        <f>IF(Massnahmen!E39&lt;&gt;"",Massnahmen!E39,"")</f>
        <v/>
      </c>
      <c r="F39" s="1047">
        <f>Massnahmen!I39</f>
        <v>0</v>
      </c>
      <c r="G39" s="1079" t="str">
        <f>Massnahmen!L39</f>
        <v/>
      </c>
      <c r="H39" s="383" t="s">
        <v>1992</v>
      </c>
      <c r="I39" s="389"/>
      <c r="J39" s="385"/>
      <c r="K39" s="386"/>
      <c r="L39" s="386"/>
      <c r="M39" s="386"/>
      <c r="N39" s="387"/>
      <c r="O39" s="179"/>
    </row>
    <row r="40" spans="2:15" ht="24" customHeight="1" x14ac:dyDescent="0.3">
      <c r="B40" s="388">
        <v>5</v>
      </c>
      <c r="C40" s="1080"/>
      <c r="D40" s="1052"/>
      <c r="E40" s="1082"/>
      <c r="F40" s="1047"/>
      <c r="G40" s="1057"/>
      <c r="H40" s="383" t="s">
        <v>1993</v>
      </c>
      <c r="I40" s="389"/>
      <c r="J40" s="385"/>
      <c r="K40" s="386"/>
      <c r="L40" s="386"/>
      <c r="M40" s="386"/>
      <c r="N40" s="387"/>
      <c r="O40" s="179"/>
    </row>
    <row r="41" spans="2:15" ht="24" customHeight="1" x14ac:dyDescent="0.3">
      <c r="B41" s="388">
        <v>5</v>
      </c>
      <c r="C41" s="1080"/>
      <c r="D41" s="1052" t="s">
        <v>1916</v>
      </c>
      <c r="E41" s="1078" t="str">
        <f>IF(Massnahmen!E41&lt;&gt;"",Massnahmen!E41,"")</f>
        <v/>
      </c>
      <c r="F41" s="1047">
        <f>Massnahmen!I41</f>
        <v>0</v>
      </c>
      <c r="G41" s="1079" t="str">
        <f>Massnahmen!L41</f>
        <v/>
      </c>
      <c r="H41" s="383" t="s">
        <v>1994</v>
      </c>
      <c r="I41" s="389"/>
      <c r="J41" s="385"/>
      <c r="K41" s="386"/>
      <c r="L41" s="386"/>
      <c r="M41" s="386"/>
      <c r="N41" s="387"/>
      <c r="O41" s="179"/>
    </row>
    <row r="42" spans="2:15" ht="24" customHeight="1" x14ac:dyDescent="0.3">
      <c r="B42" s="388">
        <v>5</v>
      </c>
      <c r="C42" s="1080"/>
      <c r="D42" s="1052"/>
      <c r="E42" s="1078"/>
      <c r="F42" s="1047"/>
      <c r="G42" s="1057"/>
      <c r="H42" s="383" t="s">
        <v>1995</v>
      </c>
      <c r="I42" s="389"/>
      <c r="J42" s="385"/>
      <c r="K42" s="386"/>
      <c r="L42" s="386"/>
      <c r="M42" s="386"/>
      <c r="N42" s="387"/>
      <c r="O42" s="179"/>
    </row>
    <row r="43" spans="2:15" ht="24" customHeight="1" x14ac:dyDescent="0.3">
      <c r="B43" s="388">
        <v>5</v>
      </c>
      <c r="C43" s="1080"/>
      <c r="D43" s="1052" t="s">
        <v>1917</v>
      </c>
      <c r="E43" s="1077" t="str">
        <f>IF(Massnahmen!E43&lt;&gt;"",Massnahmen!E43,"")</f>
        <v/>
      </c>
      <c r="F43" s="1047">
        <f>Massnahmen!I43</f>
        <v>0</v>
      </c>
      <c r="G43" s="1079" t="str">
        <f>Massnahmen!L43</f>
        <v/>
      </c>
      <c r="H43" s="383" t="s">
        <v>1996</v>
      </c>
      <c r="I43" s="389"/>
      <c r="J43" s="385"/>
      <c r="K43" s="386"/>
      <c r="L43" s="386"/>
      <c r="M43" s="386"/>
      <c r="N43" s="387"/>
      <c r="O43" s="179"/>
    </row>
    <row r="44" spans="2:15" ht="24" customHeight="1" x14ac:dyDescent="0.3">
      <c r="B44" s="388">
        <v>5</v>
      </c>
      <c r="C44" s="1080"/>
      <c r="D44" s="1052"/>
      <c r="E44" s="1078"/>
      <c r="F44" s="1047"/>
      <c r="G44" s="1057"/>
      <c r="H44" s="383" t="s">
        <v>1997</v>
      </c>
      <c r="I44" s="389"/>
      <c r="J44" s="385"/>
      <c r="K44" s="386"/>
      <c r="L44" s="386"/>
      <c r="M44" s="386"/>
      <c r="N44" s="387"/>
      <c r="O44" s="179"/>
    </row>
    <row r="45" spans="2:15" ht="24" customHeight="1" x14ac:dyDescent="0.3">
      <c r="B45" s="388">
        <v>5</v>
      </c>
      <c r="C45" s="1080"/>
      <c r="D45" s="1052" t="s">
        <v>1918</v>
      </c>
      <c r="E45" s="1078" t="str">
        <f>IF(Massnahmen!E45&lt;&gt;"",Massnahmen!E45,"")</f>
        <v/>
      </c>
      <c r="F45" s="1047">
        <f>Massnahmen!I45</f>
        <v>0</v>
      </c>
      <c r="G45" s="1079" t="str">
        <f>Massnahmen!L45</f>
        <v/>
      </c>
      <c r="H45" s="383" t="s">
        <v>1998</v>
      </c>
      <c r="I45" s="389"/>
      <c r="J45" s="385"/>
      <c r="K45" s="386"/>
      <c r="L45" s="386"/>
      <c r="M45" s="386"/>
      <c r="N45" s="387"/>
      <c r="O45" s="179"/>
    </row>
    <row r="46" spans="2:15" ht="24" customHeight="1" x14ac:dyDescent="0.3">
      <c r="B46" s="388">
        <v>5</v>
      </c>
      <c r="C46" s="1080"/>
      <c r="D46" s="1052"/>
      <c r="E46" s="1078"/>
      <c r="F46" s="1058"/>
      <c r="G46" s="1057"/>
      <c r="H46" s="383" t="s">
        <v>1999</v>
      </c>
      <c r="I46" s="389"/>
      <c r="J46" s="385"/>
      <c r="K46" s="386"/>
      <c r="L46" s="386"/>
      <c r="M46" s="386"/>
      <c r="N46" s="387"/>
      <c r="O46" s="179"/>
    </row>
    <row r="47" spans="2:15" ht="24" customHeight="1" x14ac:dyDescent="0.3">
      <c r="B47" s="374">
        <v>6</v>
      </c>
      <c r="C47" s="1086">
        <f>IF(Massnahmen!C47&lt;&gt;"",Massnahmen!C47,"")</f>
        <v>6</v>
      </c>
      <c r="D47" s="1052" t="s">
        <v>1919</v>
      </c>
      <c r="E47" s="1087" t="str">
        <f>IF(Massnahmen!E47&lt;&gt;"",Massnahmen!E47,"")</f>
        <v/>
      </c>
      <c r="F47" s="1064">
        <f>Massnahmen!I47</f>
        <v>0</v>
      </c>
      <c r="G47" s="1085" t="str">
        <f>Massnahmen!L47</f>
        <v/>
      </c>
      <c r="H47" s="383" t="s">
        <v>2000</v>
      </c>
      <c r="I47" s="390"/>
      <c r="J47" s="391"/>
      <c r="K47" s="392"/>
      <c r="L47" s="392"/>
      <c r="M47" s="392"/>
      <c r="N47" s="393"/>
      <c r="O47" s="179"/>
    </row>
    <row r="48" spans="2:15" ht="24" customHeight="1" x14ac:dyDescent="0.3">
      <c r="B48" s="388">
        <v>6</v>
      </c>
      <c r="C48" s="1086"/>
      <c r="D48" s="1052"/>
      <c r="E48" s="1088"/>
      <c r="F48" s="1064"/>
      <c r="G48" s="1073"/>
      <c r="H48" s="383" t="s">
        <v>2001</v>
      </c>
      <c r="I48" s="390"/>
      <c r="J48" s="391"/>
      <c r="K48" s="392"/>
      <c r="L48" s="392"/>
      <c r="M48" s="392"/>
      <c r="N48" s="393"/>
      <c r="O48" s="179"/>
    </row>
    <row r="49" spans="2:15" ht="24" customHeight="1" x14ac:dyDescent="0.3">
      <c r="B49" s="388">
        <v>6</v>
      </c>
      <c r="C49" s="1086"/>
      <c r="D49" s="1052" t="s">
        <v>1920</v>
      </c>
      <c r="E49" s="1084" t="str">
        <f>IF(Massnahmen!E49&lt;&gt;"",Massnahmen!E49,"")</f>
        <v/>
      </c>
      <c r="F49" s="1064">
        <f>Massnahmen!I49</f>
        <v>0</v>
      </c>
      <c r="G49" s="1085" t="str">
        <f>Massnahmen!L49</f>
        <v/>
      </c>
      <c r="H49" s="383" t="s">
        <v>2002</v>
      </c>
      <c r="I49" s="390"/>
      <c r="J49" s="391"/>
      <c r="K49" s="392"/>
      <c r="L49" s="392"/>
      <c r="M49" s="392"/>
      <c r="N49" s="393"/>
      <c r="O49" s="179"/>
    </row>
    <row r="50" spans="2:15" ht="24" customHeight="1" x14ac:dyDescent="0.3">
      <c r="B50" s="388">
        <v>6</v>
      </c>
      <c r="C50" s="1086"/>
      <c r="D50" s="1052"/>
      <c r="E50" s="1084"/>
      <c r="F50" s="1064"/>
      <c r="G50" s="1073"/>
      <c r="H50" s="383" t="s">
        <v>2003</v>
      </c>
      <c r="I50" s="390"/>
      <c r="J50" s="391"/>
      <c r="K50" s="392"/>
      <c r="L50" s="392"/>
      <c r="M50" s="392"/>
      <c r="N50" s="393"/>
      <c r="O50" s="179"/>
    </row>
    <row r="51" spans="2:15" ht="24" customHeight="1" x14ac:dyDescent="0.3">
      <c r="B51" s="388">
        <v>6</v>
      </c>
      <c r="C51" s="1086"/>
      <c r="D51" s="1052" t="s">
        <v>1921</v>
      </c>
      <c r="E51" s="1083" t="str">
        <f>IF(Massnahmen!E51&lt;&gt;"",Massnahmen!E51,"")</f>
        <v/>
      </c>
      <c r="F51" s="1064">
        <f>Massnahmen!I51</f>
        <v>0</v>
      </c>
      <c r="G51" s="1085" t="str">
        <f>Massnahmen!L51</f>
        <v/>
      </c>
      <c r="H51" s="383" t="s">
        <v>2004</v>
      </c>
      <c r="I51" s="390"/>
      <c r="J51" s="391"/>
      <c r="K51" s="392"/>
      <c r="L51" s="392"/>
      <c r="M51" s="392"/>
      <c r="N51" s="393"/>
      <c r="O51" s="179"/>
    </row>
    <row r="52" spans="2:15" ht="24" customHeight="1" x14ac:dyDescent="0.3">
      <c r="B52" s="388">
        <v>6</v>
      </c>
      <c r="C52" s="1086"/>
      <c r="D52" s="1052"/>
      <c r="E52" s="1084"/>
      <c r="F52" s="1064"/>
      <c r="G52" s="1073"/>
      <c r="H52" s="383" t="s">
        <v>2005</v>
      </c>
      <c r="I52" s="390"/>
      <c r="J52" s="391"/>
      <c r="K52" s="392"/>
      <c r="L52" s="392"/>
      <c r="M52" s="392"/>
      <c r="N52" s="393"/>
      <c r="O52" s="179"/>
    </row>
    <row r="53" spans="2:15" ht="24" customHeight="1" x14ac:dyDescent="0.3">
      <c r="B53" s="388">
        <v>6</v>
      </c>
      <c r="C53" s="1086"/>
      <c r="D53" s="1052" t="s">
        <v>1922</v>
      </c>
      <c r="E53" s="1084" t="str">
        <f>IF(Massnahmen!E53&lt;&gt;"",Massnahmen!E53,"")</f>
        <v/>
      </c>
      <c r="F53" s="1064">
        <f>Massnahmen!I53</f>
        <v>0</v>
      </c>
      <c r="G53" s="1085" t="str">
        <f>Massnahmen!L53</f>
        <v/>
      </c>
      <c r="H53" s="383" t="s">
        <v>2006</v>
      </c>
      <c r="I53" s="390"/>
      <c r="J53" s="391"/>
      <c r="K53" s="392"/>
      <c r="L53" s="392"/>
      <c r="M53" s="392"/>
      <c r="N53" s="393"/>
      <c r="O53" s="179"/>
    </row>
    <row r="54" spans="2:15" ht="24" customHeight="1" x14ac:dyDescent="0.3">
      <c r="B54" s="388">
        <v>6</v>
      </c>
      <c r="C54" s="1086"/>
      <c r="D54" s="1052"/>
      <c r="E54" s="1084"/>
      <c r="F54" s="1074"/>
      <c r="G54" s="1073"/>
      <c r="H54" s="383" t="s">
        <v>2007</v>
      </c>
      <c r="I54" s="390"/>
      <c r="J54" s="391"/>
      <c r="K54" s="392"/>
      <c r="L54" s="392"/>
      <c r="M54" s="392"/>
      <c r="N54" s="393"/>
      <c r="O54" s="179"/>
    </row>
    <row r="55" spans="2:15" ht="24" customHeight="1" x14ac:dyDescent="0.3">
      <c r="B55" s="374">
        <v>7</v>
      </c>
      <c r="C55" s="1080">
        <f>IF(Massnahmen!C55&lt;&gt;"",Massnahmen!C55,"")</f>
        <v>7</v>
      </c>
      <c r="D55" s="1052" t="s">
        <v>1923</v>
      </c>
      <c r="E55" s="1081" t="str">
        <f>IF(Massnahmen!E55&lt;&gt;"",Massnahmen!E55,"")</f>
        <v/>
      </c>
      <c r="F55" s="1047">
        <f>Massnahmen!I55</f>
        <v>0</v>
      </c>
      <c r="G55" s="1079" t="str">
        <f>Massnahmen!L55</f>
        <v/>
      </c>
      <c r="H55" s="383" t="s">
        <v>2008</v>
      </c>
      <c r="I55" s="389"/>
      <c r="J55" s="385"/>
      <c r="K55" s="394"/>
      <c r="L55" s="394"/>
      <c r="M55" s="394"/>
      <c r="N55" s="395"/>
      <c r="O55" s="179"/>
    </row>
    <row r="56" spans="2:15" ht="24" customHeight="1" x14ac:dyDescent="0.3">
      <c r="B56" s="388">
        <v>7</v>
      </c>
      <c r="C56" s="1080"/>
      <c r="D56" s="1052"/>
      <c r="E56" s="1082"/>
      <c r="F56" s="1047"/>
      <c r="G56" s="1057"/>
      <c r="H56" s="383" t="s">
        <v>2009</v>
      </c>
      <c r="I56" s="389"/>
      <c r="J56" s="385"/>
      <c r="K56" s="394"/>
      <c r="L56" s="394"/>
      <c r="M56" s="394"/>
      <c r="N56" s="395"/>
      <c r="O56" s="179"/>
    </row>
    <row r="57" spans="2:15" ht="24" customHeight="1" x14ac:dyDescent="0.3">
      <c r="B57" s="388">
        <v>7</v>
      </c>
      <c r="C57" s="1080"/>
      <c r="D57" s="1052" t="s">
        <v>1924</v>
      </c>
      <c r="E57" s="1078" t="str">
        <f>IF(Massnahmen!E57&lt;&gt;"",Massnahmen!E57,"")</f>
        <v/>
      </c>
      <c r="F57" s="1047">
        <f>Massnahmen!I57</f>
        <v>0</v>
      </c>
      <c r="G57" s="1079" t="str">
        <f>Massnahmen!L57</f>
        <v/>
      </c>
      <c r="H57" s="383" t="s">
        <v>2010</v>
      </c>
      <c r="I57" s="389"/>
      <c r="J57" s="385"/>
      <c r="K57" s="394"/>
      <c r="L57" s="394"/>
      <c r="M57" s="394"/>
      <c r="N57" s="395"/>
      <c r="O57" s="179"/>
    </row>
    <row r="58" spans="2:15" ht="24" customHeight="1" x14ac:dyDescent="0.3">
      <c r="B58" s="388">
        <v>7</v>
      </c>
      <c r="C58" s="1080"/>
      <c r="D58" s="1052"/>
      <c r="E58" s="1078"/>
      <c r="F58" s="1047"/>
      <c r="G58" s="1057"/>
      <c r="H58" s="383" t="s">
        <v>2011</v>
      </c>
      <c r="I58" s="389"/>
      <c r="J58" s="385"/>
      <c r="K58" s="394"/>
      <c r="L58" s="394"/>
      <c r="M58" s="394"/>
      <c r="N58" s="395"/>
      <c r="O58" s="179"/>
    </row>
    <row r="59" spans="2:15" ht="24" customHeight="1" x14ac:dyDescent="0.3">
      <c r="B59" s="388">
        <v>7</v>
      </c>
      <c r="C59" s="1080"/>
      <c r="D59" s="1052" t="s">
        <v>1925</v>
      </c>
      <c r="E59" s="1077" t="str">
        <f>IF(Massnahmen!E59&lt;&gt;"",Massnahmen!E59,"")</f>
        <v/>
      </c>
      <c r="F59" s="1047">
        <f>Massnahmen!I59</f>
        <v>0</v>
      </c>
      <c r="G59" s="1079" t="str">
        <f>Massnahmen!L59</f>
        <v/>
      </c>
      <c r="H59" s="383" t="s">
        <v>2012</v>
      </c>
      <c r="I59" s="389"/>
      <c r="J59" s="385"/>
      <c r="K59" s="394"/>
      <c r="L59" s="394"/>
      <c r="M59" s="394"/>
      <c r="N59" s="395"/>
      <c r="O59" s="179"/>
    </row>
    <row r="60" spans="2:15" ht="24" customHeight="1" x14ac:dyDescent="0.3">
      <c r="B60" s="388">
        <v>7</v>
      </c>
      <c r="C60" s="1080"/>
      <c r="D60" s="1052"/>
      <c r="E60" s="1078"/>
      <c r="F60" s="1047"/>
      <c r="G60" s="1057"/>
      <c r="H60" s="383" t="s">
        <v>2013</v>
      </c>
      <c r="I60" s="389"/>
      <c r="J60" s="385"/>
      <c r="K60" s="394"/>
      <c r="L60" s="394"/>
      <c r="M60" s="394"/>
      <c r="N60" s="395"/>
      <c r="O60" s="179"/>
    </row>
    <row r="61" spans="2:15" ht="24" customHeight="1" x14ac:dyDescent="0.3">
      <c r="B61" s="388">
        <v>7</v>
      </c>
      <c r="C61" s="1080"/>
      <c r="D61" s="1052" t="s">
        <v>1926</v>
      </c>
      <c r="E61" s="1078" t="str">
        <f>IF(Massnahmen!E61&lt;&gt;"",Massnahmen!E61,"")</f>
        <v/>
      </c>
      <c r="F61" s="1047">
        <f>Massnahmen!I61</f>
        <v>0</v>
      </c>
      <c r="G61" s="1079" t="str">
        <f>Massnahmen!L61</f>
        <v/>
      </c>
      <c r="H61" s="383" t="s">
        <v>2014</v>
      </c>
      <c r="I61" s="389"/>
      <c r="J61" s="385"/>
      <c r="K61" s="394"/>
      <c r="L61" s="394"/>
      <c r="M61" s="394"/>
      <c r="N61" s="395"/>
      <c r="O61" s="179"/>
    </row>
    <row r="62" spans="2:15" ht="24" customHeight="1" x14ac:dyDescent="0.3">
      <c r="B62" s="388">
        <v>7</v>
      </c>
      <c r="C62" s="1080"/>
      <c r="D62" s="1052"/>
      <c r="E62" s="1078"/>
      <c r="F62" s="1058"/>
      <c r="G62" s="1057"/>
      <c r="H62" s="383" t="s">
        <v>2015</v>
      </c>
      <c r="I62" s="389"/>
      <c r="J62" s="385"/>
      <c r="K62" s="394"/>
      <c r="L62" s="394"/>
      <c r="M62" s="394"/>
      <c r="N62" s="395"/>
      <c r="O62" s="179"/>
    </row>
    <row r="63" spans="2:15" ht="24" customHeight="1" x14ac:dyDescent="0.3">
      <c r="B63" s="374">
        <v>8</v>
      </c>
      <c r="C63" s="1086">
        <f>IF(Massnahmen!C63&lt;&gt;"",Massnahmen!C63,"")</f>
        <v>8</v>
      </c>
      <c r="D63" s="1052" t="s">
        <v>1927</v>
      </c>
      <c r="E63" s="1087" t="str">
        <f>IF(Massnahmen!E63&lt;&gt;"",Massnahmen!E63,"")</f>
        <v/>
      </c>
      <c r="F63" s="1064">
        <f>Massnahmen!I63</f>
        <v>0</v>
      </c>
      <c r="G63" s="1085" t="str">
        <f>Massnahmen!L63</f>
        <v/>
      </c>
      <c r="H63" s="383" t="s">
        <v>2016</v>
      </c>
      <c r="I63" s="390"/>
      <c r="J63" s="391"/>
      <c r="K63" s="396"/>
      <c r="L63" s="396"/>
      <c r="M63" s="396"/>
      <c r="N63" s="397"/>
      <c r="O63" s="179"/>
    </row>
    <row r="64" spans="2:15" ht="24" customHeight="1" x14ac:dyDescent="0.3">
      <c r="B64" s="388">
        <v>8</v>
      </c>
      <c r="C64" s="1086"/>
      <c r="D64" s="1052"/>
      <c r="E64" s="1088"/>
      <c r="F64" s="1064"/>
      <c r="G64" s="1073"/>
      <c r="H64" s="383" t="s">
        <v>2017</v>
      </c>
      <c r="I64" s="390"/>
      <c r="J64" s="391"/>
      <c r="K64" s="396"/>
      <c r="L64" s="396"/>
      <c r="M64" s="396"/>
      <c r="N64" s="397"/>
      <c r="O64" s="179"/>
    </row>
    <row r="65" spans="2:15" ht="24" customHeight="1" x14ac:dyDescent="0.3">
      <c r="B65" s="388">
        <v>8</v>
      </c>
      <c r="C65" s="1086"/>
      <c r="D65" s="1052" t="s">
        <v>1928</v>
      </c>
      <c r="E65" s="1084" t="str">
        <f>IF(Massnahmen!E65&lt;&gt;"",Massnahmen!E65,"")</f>
        <v/>
      </c>
      <c r="F65" s="1064">
        <f>Massnahmen!I65</f>
        <v>0</v>
      </c>
      <c r="G65" s="1085" t="str">
        <f>Massnahmen!L65</f>
        <v/>
      </c>
      <c r="H65" s="383" t="s">
        <v>2018</v>
      </c>
      <c r="I65" s="390"/>
      <c r="J65" s="391"/>
      <c r="K65" s="396"/>
      <c r="L65" s="396"/>
      <c r="M65" s="396"/>
      <c r="N65" s="397"/>
      <c r="O65" s="179"/>
    </row>
    <row r="66" spans="2:15" ht="24" customHeight="1" x14ac:dyDescent="0.3">
      <c r="B66" s="388">
        <v>8</v>
      </c>
      <c r="C66" s="1086"/>
      <c r="D66" s="1052"/>
      <c r="E66" s="1084"/>
      <c r="F66" s="1064"/>
      <c r="G66" s="1073"/>
      <c r="H66" s="383" t="s">
        <v>2019</v>
      </c>
      <c r="I66" s="390"/>
      <c r="J66" s="391"/>
      <c r="K66" s="396"/>
      <c r="L66" s="396"/>
      <c r="M66" s="396"/>
      <c r="N66" s="397"/>
      <c r="O66" s="179"/>
    </row>
    <row r="67" spans="2:15" ht="24" customHeight="1" x14ac:dyDescent="0.3">
      <c r="B67" s="388">
        <v>8</v>
      </c>
      <c r="C67" s="1086"/>
      <c r="D67" s="1052" t="s">
        <v>1929</v>
      </c>
      <c r="E67" s="1083" t="str">
        <f>IF(Massnahmen!E67&lt;&gt;"",Massnahmen!E67,"")</f>
        <v/>
      </c>
      <c r="F67" s="1064">
        <f>Massnahmen!I67</f>
        <v>0</v>
      </c>
      <c r="G67" s="1085" t="str">
        <f>Massnahmen!L67</f>
        <v/>
      </c>
      <c r="H67" s="383" t="s">
        <v>2020</v>
      </c>
      <c r="I67" s="390"/>
      <c r="J67" s="391"/>
      <c r="K67" s="396"/>
      <c r="L67" s="396"/>
      <c r="M67" s="396"/>
      <c r="N67" s="397"/>
      <c r="O67" s="179"/>
    </row>
    <row r="68" spans="2:15" ht="24" customHeight="1" x14ac:dyDescent="0.3">
      <c r="B68" s="388">
        <v>8</v>
      </c>
      <c r="C68" s="1086"/>
      <c r="D68" s="1052"/>
      <c r="E68" s="1084"/>
      <c r="F68" s="1064"/>
      <c r="G68" s="1073"/>
      <c r="H68" s="383" t="s">
        <v>2021</v>
      </c>
      <c r="I68" s="390"/>
      <c r="J68" s="391"/>
      <c r="K68" s="396"/>
      <c r="L68" s="396"/>
      <c r="M68" s="396"/>
      <c r="N68" s="397"/>
      <c r="O68" s="179"/>
    </row>
    <row r="69" spans="2:15" ht="24" customHeight="1" x14ac:dyDescent="0.3">
      <c r="B69" s="388">
        <v>8</v>
      </c>
      <c r="C69" s="1086"/>
      <c r="D69" s="1052" t="s">
        <v>1930</v>
      </c>
      <c r="E69" s="1084" t="str">
        <f>IF(Massnahmen!E69&lt;&gt;"",Massnahmen!E69,"")</f>
        <v/>
      </c>
      <c r="F69" s="1064">
        <f>Massnahmen!I69</f>
        <v>0</v>
      </c>
      <c r="G69" s="1085" t="str">
        <f>Massnahmen!L69</f>
        <v/>
      </c>
      <c r="H69" s="383" t="s">
        <v>2022</v>
      </c>
      <c r="I69" s="390"/>
      <c r="J69" s="391"/>
      <c r="K69" s="396"/>
      <c r="L69" s="396"/>
      <c r="M69" s="396"/>
      <c r="N69" s="397"/>
      <c r="O69" s="179"/>
    </row>
    <row r="70" spans="2:15" ht="24" customHeight="1" x14ac:dyDescent="0.3">
      <c r="B70" s="388">
        <v>8</v>
      </c>
      <c r="C70" s="1086"/>
      <c r="D70" s="1052"/>
      <c r="E70" s="1084"/>
      <c r="F70" s="1074"/>
      <c r="G70" s="1073"/>
      <c r="H70" s="383" t="s">
        <v>2023</v>
      </c>
      <c r="I70" s="390"/>
      <c r="J70" s="391"/>
      <c r="K70" s="396"/>
      <c r="L70" s="396"/>
      <c r="M70" s="396"/>
      <c r="N70" s="397"/>
      <c r="O70" s="179"/>
    </row>
    <row r="71" spans="2:15" ht="24" customHeight="1" x14ac:dyDescent="0.3">
      <c r="B71" s="374">
        <v>9</v>
      </c>
      <c r="C71" s="1080">
        <f>IF(Massnahmen!C71&lt;&gt;"",Massnahmen!C71,"")</f>
        <v>9</v>
      </c>
      <c r="D71" s="1052" t="s">
        <v>1931</v>
      </c>
      <c r="E71" s="1081" t="str">
        <f>IF(Massnahmen!E71&lt;&gt;"",Massnahmen!E71,"")</f>
        <v/>
      </c>
      <c r="F71" s="1047">
        <f>Massnahmen!I71</f>
        <v>0</v>
      </c>
      <c r="G71" s="1079" t="str">
        <f>Massnahmen!L71</f>
        <v/>
      </c>
      <c r="H71" s="383" t="s">
        <v>2024</v>
      </c>
      <c r="I71" s="389"/>
      <c r="J71" s="385"/>
      <c r="K71" s="394"/>
      <c r="L71" s="394"/>
      <c r="M71" s="394"/>
      <c r="N71" s="395"/>
      <c r="O71" s="179"/>
    </row>
    <row r="72" spans="2:15" ht="24" customHeight="1" x14ac:dyDescent="0.3">
      <c r="B72" s="388">
        <v>9</v>
      </c>
      <c r="C72" s="1080"/>
      <c r="D72" s="1052"/>
      <c r="E72" s="1082"/>
      <c r="F72" s="1047"/>
      <c r="G72" s="1057"/>
      <c r="H72" s="383" t="s">
        <v>2025</v>
      </c>
      <c r="I72" s="389"/>
      <c r="J72" s="385"/>
      <c r="K72" s="394"/>
      <c r="L72" s="394"/>
      <c r="M72" s="394"/>
      <c r="N72" s="395"/>
      <c r="O72" s="179"/>
    </row>
    <row r="73" spans="2:15" ht="24" customHeight="1" x14ac:dyDescent="0.3">
      <c r="B73" s="388">
        <v>9</v>
      </c>
      <c r="C73" s="1080"/>
      <c r="D73" s="1052" t="s">
        <v>1932</v>
      </c>
      <c r="E73" s="1078" t="str">
        <f>IF(Massnahmen!E73&lt;&gt;"",Massnahmen!E73,"")</f>
        <v/>
      </c>
      <c r="F73" s="1047">
        <f>Massnahmen!I73</f>
        <v>0</v>
      </c>
      <c r="G73" s="1079" t="str">
        <f>Massnahmen!L73</f>
        <v/>
      </c>
      <c r="H73" s="383" t="s">
        <v>2026</v>
      </c>
      <c r="I73" s="389"/>
      <c r="J73" s="385"/>
      <c r="K73" s="394"/>
      <c r="L73" s="394"/>
      <c r="M73" s="394"/>
      <c r="N73" s="395"/>
      <c r="O73" s="179"/>
    </row>
    <row r="74" spans="2:15" ht="24" customHeight="1" x14ac:dyDescent="0.3">
      <c r="B74" s="388">
        <v>9</v>
      </c>
      <c r="C74" s="1080"/>
      <c r="D74" s="1052"/>
      <c r="E74" s="1078"/>
      <c r="F74" s="1047"/>
      <c r="G74" s="1057"/>
      <c r="H74" s="383" t="s">
        <v>2027</v>
      </c>
      <c r="I74" s="389"/>
      <c r="J74" s="385"/>
      <c r="K74" s="394"/>
      <c r="L74" s="394"/>
      <c r="M74" s="394"/>
      <c r="N74" s="395"/>
      <c r="O74" s="179"/>
    </row>
    <row r="75" spans="2:15" ht="24" customHeight="1" x14ac:dyDescent="0.3">
      <c r="B75" s="388">
        <v>9</v>
      </c>
      <c r="C75" s="1080"/>
      <c r="D75" s="1052" t="s">
        <v>1933</v>
      </c>
      <c r="E75" s="1077" t="str">
        <f>IF(Massnahmen!E75&lt;&gt;"",Massnahmen!E75,"")</f>
        <v/>
      </c>
      <c r="F75" s="1047">
        <f>Massnahmen!I75</f>
        <v>0</v>
      </c>
      <c r="G75" s="1079" t="str">
        <f>Massnahmen!L75</f>
        <v/>
      </c>
      <c r="H75" s="383" t="s">
        <v>2028</v>
      </c>
      <c r="I75" s="389"/>
      <c r="J75" s="385"/>
      <c r="K75" s="394"/>
      <c r="L75" s="394"/>
      <c r="M75" s="394"/>
      <c r="N75" s="395"/>
      <c r="O75" s="179"/>
    </row>
    <row r="76" spans="2:15" ht="24" customHeight="1" x14ac:dyDescent="0.3">
      <c r="B76" s="388">
        <v>9</v>
      </c>
      <c r="C76" s="1080"/>
      <c r="D76" s="1052"/>
      <c r="E76" s="1078"/>
      <c r="F76" s="1047"/>
      <c r="G76" s="1057"/>
      <c r="H76" s="383" t="s">
        <v>2029</v>
      </c>
      <c r="I76" s="389"/>
      <c r="J76" s="385"/>
      <c r="K76" s="394"/>
      <c r="L76" s="394"/>
      <c r="M76" s="394"/>
      <c r="N76" s="395"/>
      <c r="O76" s="179"/>
    </row>
    <row r="77" spans="2:15" ht="24" customHeight="1" x14ac:dyDescent="0.3">
      <c r="B77" s="388">
        <v>9</v>
      </c>
      <c r="C77" s="1080"/>
      <c r="D77" s="1052" t="s">
        <v>1934</v>
      </c>
      <c r="E77" s="1078" t="str">
        <f>IF(Massnahmen!E77&lt;&gt;"",Massnahmen!E77,"")</f>
        <v/>
      </c>
      <c r="F77" s="1047">
        <f>Massnahmen!I77</f>
        <v>0</v>
      </c>
      <c r="G77" s="1079" t="str">
        <f>Massnahmen!L77</f>
        <v/>
      </c>
      <c r="H77" s="383" t="s">
        <v>2030</v>
      </c>
      <c r="I77" s="389"/>
      <c r="J77" s="385"/>
      <c r="K77" s="394"/>
      <c r="L77" s="394"/>
      <c r="M77" s="394"/>
      <c r="N77" s="395"/>
      <c r="O77" s="179"/>
    </row>
    <row r="78" spans="2:15" ht="24" customHeight="1" x14ac:dyDescent="0.3">
      <c r="B78" s="388">
        <v>9</v>
      </c>
      <c r="C78" s="1080"/>
      <c r="D78" s="1052"/>
      <c r="E78" s="1078"/>
      <c r="F78" s="1058"/>
      <c r="G78" s="1057"/>
      <c r="H78" s="383" t="s">
        <v>2031</v>
      </c>
      <c r="I78" s="389"/>
      <c r="J78" s="385"/>
      <c r="K78" s="394"/>
      <c r="L78" s="394"/>
      <c r="M78" s="394"/>
      <c r="N78" s="395"/>
      <c r="O78" s="179"/>
    </row>
    <row r="79" spans="2:15" ht="24" customHeight="1" x14ac:dyDescent="0.3">
      <c r="B79" s="374">
        <v>10</v>
      </c>
      <c r="C79" s="1086">
        <f>IF(Massnahmen!C79&lt;&gt;"",Massnahmen!C79,"")</f>
        <v>10</v>
      </c>
      <c r="D79" s="1052" t="s">
        <v>1935</v>
      </c>
      <c r="E79" s="1087" t="str">
        <f>IF(Massnahmen!E79&lt;&gt;"",Massnahmen!E79,"")</f>
        <v/>
      </c>
      <c r="F79" s="1064">
        <f>Massnahmen!I79</f>
        <v>0</v>
      </c>
      <c r="G79" s="1085" t="str">
        <f>Massnahmen!L79</f>
        <v/>
      </c>
      <c r="H79" s="383" t="s">
        <v>2032</v>
      </c>
      <c r="I79" s="390"/>
      <c r="J79" s="391"/>
      <c r="K79" s="396"/>
      <c r="L79" s="396"/>
      <c r="M79" s="396"/>
      <c r="N79" s="397"/>
      <c r="O79" s="179"/>
    </row>
    <row r="80" spans="2:15" ht="24" customHeight="1" x14ac:dyDescent="0.3">
      <c r="B80" s="388">
        <v>10</v>
      </c>
      <c r="C80" s="1086"/>
      <c r="D80" s="1052"/>
      <c r="E80" s="1088"/>
      <c r="F80" s="1064"/>
      <c r="G80" s="1073"/>
      <c r="H80" s="383" t="s">
        <v>2033</v>
      </c>
      <c r="I80" s="390"/>
      <c r="J80" s="391"/>
      <c r="K80" s="396"/>
      <c r="L80" s="396"/>
      <c r="M80" s="396"/>
      <c r="N80" s="397"/>
      <c r="O80" s="179"/>
    </row>
    <row r="81" spans="1:15" ht="24" customHeight="1" x14ac:dyDescent="0.3">
      <c r="B81" s="388">
        <v>10</v>
      </c>
      <c r="C81" s="1086"/>
      <c r="D81" s="1052" t="s">
        <v>1936</v>
      </c>
      <c r="E81" s="1084" t="str">
        <f>IF(Massnahmen!E81&lt;&gt;"",Massnahmen!E81,"")</f>
        <v/>
      </c>
      <c r="F81" s="1064">
        <f>Massnahmen!I81</f>
        <v>0</v>
      </c>
      <c r="G81" s="1085" t="str">
        <f>Massnahmen!L81</f>
        <v/>
      </c>
      <c r="H81" s="383" t="s">
        <v>2034</v>
      </c>
      <c r="I81" s="390"/>
      <c r="J81" s="391"/>
      <c r="K81" s="396"/>
      <c r="L81" s="396"/>
      <c r="M81" s="396"/>
      <c r="N81" s="397"/>
      <c r="O81" s="179"/>
    </row>
    <row r="82" spans="1:15" ht="24" customHeight="1" x14ac:dyDescent="0.3">
      <c r="B82" s="388">
        <v>10</v>
      </c>
      <c r="C82" s="1086"/>
      <c r="D82" s="1052"/>
      <c r="E82" s="1084"/>
      <c r="F82" s="1064"/>
      <c r="G82" s="1073"/>
      <c r="H82" s="383" t="s">
        <v>2035</v>
      </c>
      <c r="I82" s="390"/>
      <c r="J82" s="391"/>
      <c r="K82" s="396"/>
      <c r="L82" s="396"/>
      <c r="M82" s="396"/>
      <c r="N82" s="397"/>
      <c r="O82" s="179"/>
    </row>
    <row r="83" spans="1:15" ht="24" customHeight="1" x14ac:dyDescent="0.3">
      <c r="B83" s="388">
        <v>10</v>
      </c>
      <c r="C83" s="1086"/>
      <c r="D83" s="1052" t="s">
        <v>1937</v>
      </c>
      <c r="E83" s="1083" t="str">
        <f>IF(Massnahmen!E83&lt;&gt;"",Massnahmen!E83,"")</f>
        <v/>
      </c>
      <c r="F83" s="1064">
        <f>Massnahmen!I83</f>
        <v>0</v>
      </c>
      <c r="G83" s="1085" t="str">
        <f>Massnahmen!L83</f>
        <v/>
      </c>
      <c r="H83" s="383" t="s">
        <v>2036</v>
      </c>
      <c r="I83" s="390"/>
      <c r="J83" s="391"/>
      <c r="K83" s="396"/>
      <c r="L83" s="396"/>
      <c r="M83" s="396"/>
      <c r="N83" s="397"/>
      <c r="O83" s="179"/>
    </row>
    <row r="84" spans="1:15" ht="24" customHeight="1" x14ac:dyDescent="0.3">
      <c r="B84" s="388">
        <v>10</v>
      </c>
      <c r="C84" s="1086"/>
      <c r="D84" s="1052"/>
      <c r="E84" s="1084"/>
      <c r="F84" s="1064"/>
      <c r="G84" s="1073"/>
      <c r="H84" s="383" t="s">
        <v>2037</v>
      </c>
      <c r="I84" s="390"/>
      <c r="J84" s="391"/>
      <c r="K84" s="396"/>
      <c r="L84" s="396"/>
      <c r="M84" s="396"/>
      <c r="N84" s="397"/>
      <c r="O84" s="179"/>
    </row>
    <row r="85" spans="1:15" ht="24" customHeight="1" x14ac:dyDescent="0.3">
      <c r="B85" s="388">
        <v>10</v>
      </c>
      <c r="C85" s="1086"/>
      <c r="D85" s="1052" t="s">
        <v>1938</v>
      </c>
      <c r="E85" s="1084" t="str">
        <f>IF(Massnahmen!E85&lt;&gt;"",Massnahmen!E85,"")</f>
        <v/>
      </c>
      <c r="F85" s="1064">
        <f>Massnahmen!I85</f>
        <v>0</v>
      </c>
      <c r="G85" s="1085" t="str">
        <f>Massnahmen!L85</f>
        <v/>
      </c>
      <c r="H85" s="383" t="s">
        <v>2038</v>
      </c>
      <c r="I85" s="390"/>
      <c r="J85" s="391"/>
      <c r="K85" s="396"/>
      <c r="L85" s="396"/>
      <c r="M85" s="396"/>
      <c r="N85" s="397"/>
      <c r="O85" s="179"/>
    </row>
    <row r="86" spans="1:15" ht="24" customHeight="1" x14ac:dyDescent="0.3">
      <c r="B86" s="388">
        <v>10</v>
      </c>
      <c r="C86" s="1086"/>
      <c r="D86" s="1052"/>
      <c r="E86" s="1084"/>
      <c r="F86" s="1074"/>
      <c r="G86" s="1073"/>
      <c r="H86" s="383" t="s">
        <v>2039</v>
      </c>
      <c r="I86" s="390"/>
      <c r="J86" s="391"/>
      <c r="K86" s="396"/>
      <c r="L86" s="396"/>
      <c r="M86" s="396"/>
      <c r="N86" s="397"/>
      <c r="O86" s="179"/>
    </row>
    <row r="87" spans="1:15" s="398" customFormat="1" ht="15.6" x14ac:dyDescent="0.3">
      <c r="A87" s="352" t="str">
        <f>IF($C$87="","","ok")</f>
        <v>ok</v>
      </c>
      <c r="C87" s="74" t="s">
        <v>2103</v>
      </c>
      <c r="D87" s="97"/>
      <c r="E87" s="375"/>
      <c r="F87" s="399"/>
      <c r="G87" s="400"/>
      <c r="H87" s="401"/>
      <c r="I87" s="402"/>
      <c r="J87" s="402"/>
      <c r="K87" s="402"/>
      <c r="L87" s="402"/>
      <c r="M87" s="402"/>
      <c r="N87" s="400"/>
      <c r="O87" s="179"/>
    </row>
    <row r="88" spans="1:15" ht="15.6" x14ac:dyDescent="0.3">
      <c r="F88" s="405"/>
      <c r="G88" s="406"/>
      <c r="H88" s="401"/>
      <c r="I88" s="407"/>
      <c r="J88" s="407"/>
      <c r="K88" s="407"/>
      <c r="L88" s="407"/>
      <c r="M88" s="407"/>
      <c r="N88" s="406"/>
    </row>
    <row r="89" spans="1:15" ht="18.75" customHeight="1" x14ac:dyDescent="0.3">
      <c r="F89" s="405"/>
      <c r="G89" s="406"/>
      <c r="H89" s="401"/>
      <c r="I89" s="407"/>
      <c r="J89" s="407"/>
      <c r="K89" s="407"/>
      <c r="L89" s="407"/>
      <c r="M89" s="407"/>
      <c r="N89" s="406"/>
    </row>
    <row r="90" spans="1:15" ht="18.75" customHeight="1" x14ac:dyDescent="0.3">
      <c r="F90" s="405"/>
      <c r="G90" s="406"/>
      <c r="H90" s="401"/>
      <c r="I90" s="407"/>
      <c r="J90" s="407"/>
      <c r="K90" s="407"/>
      <c r="L90" s="407"/>
      <c r="M90" s="407"/>
      <c r="N90" s="406"/>
    </row>
    <row r="91" spans="1:15" ht="18.75" customHeight="1" x14ac:dyDescent="0.3">
      <c r="F91" s="405"/>
      <c r="G91" s="406"/>
      <c r="H91" s="401"/>
      <c r="I91" s="407"/>
      <c r="J91" s="407"/>
      <c r="K91" s="407"/>
      <c r="L91" s="407"/>
      <c r="M91" s="407"/>
      <c r="N91" s="406"/>
    </row>
    <row r="92" spans="1:15" ht="18.75" customHeight="1" x14ac:dyDescent="0.3">
      <c r="F92" s="405"/>
      <c r="G92" s="406"/>
      <c r="H92" s="401"/>
      <c r="I92" s="407"/>
      <c r="J92" s="407"/>
      <c r="K92" s="407"/>
      <c r="L92" s="407"/>
      <c r="M92" s="407"/>
      <c r="N92" s="406"/>
    </row>
    <row r="93" spans="1:15" ht="18.75" customHeight="1" x14ac:dyDescent="0.3">
      <c r="F93" s="405"/>
      <c r="G93" s="406"/>
      <c r="H93" s="401"/>
      <c r="I93" s="407"/>
      <c r="J93" s="407"/>
      <c r="K93" s="407"/>
      <c r="L93" s="407"/>
      <c r="M93" s="407"/>
      <c r="N93" s="406"/>
    </row>
  </sheetData>
  <sheetProtection sheet="1" objects="1" scenarios="1" formatCells="0" formatColumns="0" formatRows="0" insertHyperlinks="0" selectLockedCells="1" sort="0" autoFilter="0"/>
  <autoFilter ref="A6:N87" xr:uid="{00000000-0009-0000-0000-000015000000}"/>
  <mergeCells count="170">
    <mergeCell ref="E83:E84"/>
    <mergeCell ref="F83:F84"/>
    <mergeCell ref="G83:G84"/>
    <mergeCell ref="D85:D86"/>
    <mergeCell ref="E85:E86"/>
    <mergeCell ref="F85:F86"/>
    <mergeCell ref="G85:G86"/>
    <mergeCell ref="C79:C86"/>
    <mergeCell ref="D79:D80"/>
    <mergeCell ref="E79:E80"/>
    <mergeCell ref="F79:F80"/>
    <mergeCell ref="G79:G80"/>
    <mergeCell ref="D81:D82"/>
    <mergeCell ref="E81:E82"/>
    <mergeCell ref="F81:F82"/>
    <mergeCell ref="G81:G82"/>
    <mergeCell ref="D83:D84"/>
    <mergeCell ref="E75:E76"/>
    <mergeCell ref="F75:F76"/>
    <mergeCell ref="G75:G76"/>
    <mergeCell ref="D77:D78"/>
    <mergeCell ref="E77:E78"/>
    <mergeCell ref="F77:F78"/>
    <mergeCell ref="G77:G78"/>
    <mergeCell ref="C71:C78"/>
    <mergeCell ref="D71:D72"/>
    <mergeCell ref="E71:E72"/>
    <mergeCell ref="F71:F72"/>
    <mergeCell ref="G71:G72"/>
    <mergeCell ref="D73:D74"/>
    <mergeCell ref="E73:E74"/>
    <mergeCell ref="F73:F74"/>
    <mergeCell ref="G73:G74"/>
    <mergeCell ref="D75:D76"/>
    <mergeCell ref="E67:E68"/>
    <mergeCell ref="F67:F68"/>
    <mergeCell ref="G67:G68"/>
    <mergeCell ref="D69:D70"/>
    <mergeCell ref="E69:E70"/>
    <mergeCell ref="F69:F70"/>
    <mergeCell ref="G69:G70"/>
    <mergeCell ref="C63:C70"/>
    <mergeCell ref="D63:D64"/>
    <mergeCell ref="E63:E64"/>
    <mergeCell ref="F63:F64"/>
    <mergeCell ref="G63:G64"/>
    <mergeCell ref="D65:D66"/>
    <mergeCell ref="E65:E66"/>
    <mergeCell ref="F65:F66"/>
    <mergeCell ref="G65:G66"/>
    <mergeCell ref="D67:D68"/>
    <mergeCell ref="E59:E60"/>
    <mergeCell ref="F59:F60"/>
    <mergeCell ref="G59:G60"/>
    <mergeCell ref="D61:D62"/>
    <mergeCell ref="E61:E62"/>
    <mergeCell ref="F61:F62"/>
    <mergeCell ref="G61:G62"/>
    <mergeCell ref="C55:C62"/>
    <mergeCell ref="D55:D56"/>
    <mergeCell ref="E55:E56"/>
    <mergeCell ref="F55:F56"/>
    <mergeCell ref="G55:G56"/>
    <mergeCell ref="D57:D58"/>
    <mergeCell ref="E57:E58"/>
    <mergeCell ref="F57:F58"/>
    <mergeCell ref="G57:G58"/>
    <mergeCell ref="D59:D60"/>
    <mergeCell ref="E51:E52"/>
    <mergeCell ref="F51:F52"/>
    <mergeCell ref="G51:G52"/>
    <mergeCell ref="D53:D54"/>
    <mergeCell ref="E53:E54"/>
    <mergeCell ref="F53:F54"/>
    <mergeCell ref="G53:G54"/>
    <mergeCell ref="C47:C54"/>
    <mergeCell ref="D47:D48"/>
    <mergeCell ref="E47:E48"/>
    <mergeCell ref="F47:F48"/>
    <mergeCell ref="G47:G48"/>
    <mergeCell ref="D49:D50"/>
    <mergeCell ref="E49:E50"/>
    <mergeCell ref="F49:F50"/>
    <mergeCell ref="G49:G50"/>
    <mergeCell ref="D51:D52"/>
    <mergeCell ref="E43:E44"/>
    <mergeCell ref="F43:F44"/>
    <mergeCell ref="G43:G44"/>
    <mergeCell ref="D45:D46"/>
    <mergeCell ref="E45:E46"/>
    <mergeCell ref="F45:F46"/>
    <mergeCell ref="G45:G46"/>
    <mergeCell ref="C39:C46"/>
    <mergeCell ref="D39:D40"/>
    <mergeCell ref="E39:E40"/>
    <mergeCell ref="F39:F40"/>
    <mergeCell ref="G39:G40"/>
    <mergeCell ref="D41:D42"/>
    <mergeCell ref="E41:E42"/>
    <mergeCell ref="F41:F42"/>
    <mergeCell ref="G41:G42"/>
    <mergeCell ref="D43:D44"/>
    <mergeCell ref="E35:E36"/>
    <mergeCell ref="F35:F36"/>
    <mergeCell ref="G35:G36"/>
    <mergeCell ref="D37:D38"/>
    <mergeCell ref="E37:E38"/>
    <mergeCell ref="F37:F38"/>
    <mergeCell ref="G37:G38"/>
    <mergeCell ref="C31:C38"/>
    <mergeCell ref="D31:D32"/>
    <mergeCell ref="E31:E32"/>
    <mergeCell ref="F31:F32"/>
    <mergeCell ref="G31:G32"/>
    <mergeCell ref="D33:D34"/>
    <mergeCell ref="E33:E34"/>
    <mergeCell ref="F33:F34"/>
    <mergeCell ref="G33:G34"/>
    <mergeCell ref="D35:D36"/>
    <mergeCell ref="E27:E28"/>
    <mergeCell ref="F27:F28"/>
    <mergeCell ref="G27:G28"/>
    <mergeCell ref="D29:D30"/>
    <mergeCell ref="E29:E30"/>
    <mergeCell ref="F29:F30"/>
    <mergeCell ref="G29:G30"/>
    <mergeCell ref="C23:C30"/>
    <mergeCell ref="D23:D24"/>
    <mergeCell ref="E23:E24"/>
    <mergeCell ref="F23:F24"/>
    <mergeCell ref="G23:G24"/>
    <mergeCell ref="D25:D26"/>
    <mergeCell ref="E25:E26"/>
    <mergeCell ref="F25:F26"/>
    <mergeCell ref="G25:G26"/>
    <mergeCell ref="D27:D28"/>
    <mergeCell ref="E19:E20"/>
    <mergeCell ref="F19:F20"/>
    <mergeCell ref="G19:G20"/>
    <mergeCell ref="D21:D22"/>
    <mergeCell ref="E21:E22"/>
    <mergeCell ref="F21:F22"/>
    <mergeCell ref="G21:G22"/>
    <mergeCell ref="C15:C22"/>
    <mergeCell ref="D15:D16"/>
    <mergeCell ref="E15:E16"/>
    <mergeCell ref="F15:F16"/>
    <mergeCell ref="G15:G16"/>
    <mergeCell ref="D17:D18"/>
    <mergeCell ref="E17:E18"/>
    <mergeCell ref="F17:F18"/>
    <mergeCell ref="G17:G18"/>
    <mergeCell ref="D19:D20"/>
    <mergeCell ref="E11:E12"/>
    <mergeCell ref="F11:F12"/>
    <mergeCell ref="G11:G12"/>
    <mergeCell ref="D13:D14"/>
    <mergeCell ref="E13:E14"/>
    <mergeCell ref="F13:F14"/>
    <mergeCell ref="G13:G14"/>
    <mergeCell ref="C7:C14"/>
    <mergeCell ref="D7:D8"/>
    <mergeCell ref="E7:E8"/>
    <mergeCell ref="F7:F8"/>
    <mergeCell ref="G7:G8"/>
    <mergeCell ref="D9:D10"/>
    <mergeCell ref="E9:E10"/>
    <mergeCell ref="F9:F10"/>
    <mergeCell ref="G9:G10"/>
    <mergeCell ref="D11:D12"/>
  </mergeCells>
  <conditionalFormatting sqref="C7:C86">
    <cfRule type="expression" dxfId="68" priority="30">
      <formula>$B7=1</formula>
    </cfRule>
    <cfRule type="expression" dxfId="67" priority="31">
      <formula>$B7=2</formula>
    </cfRule>
    <cfRule type="expression" dxfId="66" priority="32">
      <formula>$B7=3</formula>
    </cfRule>
    <cfRule type="expression" dxfId="65" priority="33">
      <formula>$B7=4</formula>
    </cfRule>
    <cfRule type="expression" dxfId="64" priority="34">
      <formula>$B7=5</formula>
    </cfRule>
    <cfRule type="expression" dxfId="63" priority="35">
      <formula>$B7=6</formula>
    </cfRule>
    <cfRule type="expression" dxfId="62" priority="36">
      <formula>$B7=7</formula>
    </cfRule>
    <cfRule type="expression" dxfId="61" priority="37">
      <formula>$B7=8</formula>
    </cfRule>
    <cfRule type="expression" dxfId="60" priority="38">
      <formula>$B7=9</formula>
    </cfRule>
    <cfRule type="expression" dxfId="59" priority="39">
      <formula>$B7=10</formula>
    </cfRule>
  </conditionalFormatting>
  <conditionalFormatting sqref="E7:F86">
    <cfRule type="expression" dxfId="58" priority="23">
      <formula>$B7=4</formula>
    </cfRule>
    <cfRule type="expression" dxfId="57" priority="21">
      <formula>$B7=2</formula>
    </cfRule>
    <cfRule type="expression" dxfId="56" priority="22">
      <formula>$B7=3</formula>
    </cfRule>
    <cfRule type="expression" dxfId="55" priority="25">
      <formula>$B7=6</formula>
    </cfRule>
    <cfRule type="expression" dxfId="54" priority="24">
      <formula>$B7=5</formula>
    </cfRule>
    <cfRule type="expression" dxfId="53" priority="20">
      <formula>$B7=1</formula>
    </cfRule>
    <cfRule type="expression" dxfId="52" priority="26">
      <formula>$B7=7</formula>
    </cfRule>
    <cfRule type="expression" dxfId="51" priority="27">
      <formula>$B7=8</formula>
    </cfRule>
    <cfRule type="expression" dxfId="50" priority="28">
      <formula>$B7=9</formula>
    </cfRule>
    <cfRule type="expression" dxfId="49" priority="29">
      <formula>$B7=10</formula>
    </cfRule>
  </conditionalFormatting>
  <conditionalFormatting sqref="G7:G86">
    <cfRule type="iconSet" priority="19">
      <iconSet iconSet="3Symbols2" showValue="0" reverse="1">
        <cfvo type="percent" val="0"/>
        <cfvo type="percent" val="33"/>
        <cfvo type="percent" val="67"/>
      </iconSet>
    </cfRule>
  </conditionalFormatting>
  <conditionalFormatting sqref="G87">
    <cfRule type="iconSet" priority="40">
      <iconSet iconSet="3Symbols2" showValue="0" reverse="1">
        <cfvo type="percent" val="0"/>
        <cfvo type="num" val="1.25"/>
        <cfvo type="num" val="2.25"/>
      </iconSet>
    </cfRule>
  </conditionalFormatting>
  <conditionalFormatting sqref="I7:I86 K7:N86">
    <cfRule type="expression" dxfId="48" priority="7">
      <formula>$B7=1</formula>
    </cfRule>
    <cfRule type="expression" dxfId="47" priority="8">
      <formula>$B7=2</formula>
    </cfRule>
    <cfRule type="expression" dxfId="46" priority="9">
      <formula>$B7=3</formula>
    </cfRule>
    <cfRule type="expression" dxfId="45" priority="10">
      <formula>$B7=4</formula>
    </cfRule>
    <cfRule type="expression" dxfId="44" priority="11">
      <formula>$B7=5</formula>
    </cfRule>
    <cfRule type="expression" dxfId="43" priority="12">
      <formula>$B7=6</formula>
    </cfRule>
    <cfRule type="expression" dxfId="42" priority="13">
      <formula>$B7=7</formula>
    </cfRule>
    <cfRule type="expression" dxfId="41" priority="14">
      <formula>$B7=8</formula>
    </cfRule>
    <cfRule type="expression" dxfId="40" priority="15">
      <formula>$B7=9</formula>
    </cfRule>
    <cfRule type="expression" dxfId="39" priority="16">
      <formula>$B7=10</formula>
    </cfRule>
  </conditionalFormatting>
  <conditionalFormatting sqref="J7:J86">
    <cfRule type="expression" dxfId="38" priority="2">
      <formula>J7=2</formula>
    </cfRule>
    <cfRule type="expression" dxfId="37" priority="3">
      <formula>J7=1</formula>
    </cfRule>
    <cfRule type="expression" dxfId="36" priority="1">
      <formula>J7=3</formula>
    </cfRule>
  </conditionalFormatting>
  <conditionalFormatting sqref="N6">
    <cfRule type="iconSet" priority="18">
      <iconSet iconSet="3Symbols2" showValue="0" reverse="1">
        <cfvo type="percent" val="0"/>
        <cfvo type="num" val="1.25"/>
        <cfvo type="num" val="2.25"/>
      </iconSet>
    </cfRule>
  </conditionalFormatting>
  <conditionalFormatting sqref="N7:N86">
    <cfRule type="iconSet" priority="17">
      <iconSet iconSet="3Symbols2" showValue="0" reverse="1">
        <cfvo type="percent" val="0"/>
        <cfvo type="num" val="1.25"/>
        <cfvo type="num" val="2.25"/>
      </iconSet>
    </cfRule>
  </conditionalFormatting>
  <conditionalFormatting sqref="N87">
    <cfRule type="iconSet" priority="41">
      <iconSet iconSet="3Symbols2" showValue="0" reverse="1">
        <cfvo type="percent" val="0"/>
        <cfvo type="num" val="1.25"/>
        <cfvo type="num" val="2.25"/>
      </iconSet>
    </cfRule>
    <cfRule type="iconSet" priority="42">
      <iconSet iconSet="3Symbols2" showValue="0" reverse="1">
        <cfvo type="percent" val="0"/>
        <cfvo type="num" val="1.25"/>
        <cfvo type="num" val="2.25"/>
      </iconSet>
    </cfRule>
  </conditionalFormatting>
  <dataValidations count="2">
    <dataValidation type="list" showInputMessage="1" showErrorMessage="1" sqref="N7:N86" xr:uid="{00000000-0002-0000-1500-000000000000}">
      <formula1>"1,2,3"</formula1>
    </dataValidation>
    <dataValidation type="list" allowBlank="1" showInputMessage="1" showErrorMessage="1" sqref="J7:J86" xr:uid="{00000000-0002-0000-1500-000001000000}">
      <formula1>"1,2,3"</formula1>
    </dataValidation>
  </dataValidations>
  <pageMargins left="0.19685039370078741" right="0.19685039370078741" top="0.31496062992125984" bottom="0.43307086614173229" header="0" footer="0.19685039370078741"/>
  <pageSetup paperSize="8" scale="90" orientation="portrait" r:id="rId1"/>
  <headerFooter>
    <oddFooter>&amp;L&amp;8(c) S. Imboden&amp;C&amp;8gedruckt am &amp;D&amp;R&amp;8&amp;P/&amp;N</oddFooter>
  </headerFooter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0" tint="-0.499984740745262"/>
    <pageSetUpPr fitToPage="1"/>
  </sheetPr>
  <dimension ref="A1:O53"/>
  <sheetViews>
    <sheetView showGridLines="0" zoomScaleNormal="100" workbookViewId="0">
      <pane ySplit="5" topLeftCell="A6" activePane="bottomLeft" state="frozen"/>
      <selection activeCell="N13" sqref="N13"/>
      <selection pane="bottomLeft" activeCell="C6" sqref="C6"/>
    </sheetView>
  </sheetViews>
  <sheetFormatPr baseColWidth="10" defaultColWidth="11.44140625" defaultRowHeight="14.4" x14ac:dyDescent="0.3"/>
  <cols>
    <col min="1" max="1" width="7" style="316" customWidth="1"/>
    <col min="2" max="2" width="4.33203125" style="316" customWidth="1"/>
    <col min="3" max="3" width="37.109375" style="316" customWidth="1"/>
    <col min="4" max="5" width="12" style="316" bestFit="1" customWidth="1"/>
    <col min="6" max="6" width="33.5546875" style="316" customWidth="1"/>
    <col min="7" max="7" width="34.33203125" style="316" customWidth="1"/>
    <col min="8" max="8" width="7.109375" style="316" customWidth="1"/>
    <col min="9" max="9" width="5" style="316" customWidth="1"/>
    <col min="10" max="10" width="11.44140625" style="316"/>
    <col min="11" max="17" width="3.44140625" style="316" customWidth="1"/>
    <col min="18" max="18" width="11.44140625" style="316" customWidth="1"/>
    <col min="19" max="16384" width="11.44140625" style="316"/>
  </cols>
  <sheetData>
    <row r="1" spans="1:15" s="313" customFormat="1" ht="45" customHeight="1" x14ac:dyDescent="0.3">
      <c r="A1" s="309"/>
      <c r="B1" s="310" t="str">
        <f ca="1">' '!A439</f>
        <v>K E R N K O M P E T E N Z E N</v>
      </c>
      <c r="C1" s="310"/>
      <c r="D1" s="310"/>
      <c r="E1" s="310"/>
      <c r="F1" s="310"/>
      <c r="G1" s="310"/>
      <c r="H1" s="311"/>
      <c r="I1" s="312"/>
      <c r="J1" s="312"/>
      <c r="K1" s="312"/>
      <c r="L1" s="312"/>
      <c r="M1" s="312"/>
      <c r="N1" s="312"/>
      <c r="O1" s="312"/>
    </row>
    <row r="2" spans="1:15" ht="13.5" customHeight="1" x14ac:dyDescent="0.3">
      <c r="A2" s="314"/>
      <c r="B2" s="315"/>
    </row>
    <row r="3" spans="1:15" ht="11.25" customHeight="1" x14ac:dyDescent="0.3">
      <c r="A3" s="139"/>
      <c r="B3" s="317"/>
    </row>
    <row r="4" spans="1:15" ht="15" customHeight="1" x14ac:dyDescent="0.3">
      <c r="B4" s="318"/>
      <c r="D4" s="1089" t="str">
        <f ca="1">' '!A444</f>
        <v>Strategische Wichtigkeit</v>
      </c>
      <c r="E4" s="1090"/>
    </row>
    <row r="5" spans="1:15" s="323" customFormat="1" ht="41.4" x14ac:dyDescent="0.3">
      <c r="A5" s="316"/>
      <c r="B5" s="319" t="str">
        <f ca="1">' '!A446</f>
        <v>Nr.</v>
      </c>
      <c r="C5" s="320" t="str">
        <f ca="1">' '!A441</f>
        <v>Kernkompetenzen</v>
      </c>
      <c r="D5" s="321" t="str">
        <f ca="1">' '!A453</f>
        <v>Mehrwert für Kunden</v>
      </c>
      <c r="E5" s="321" t="str">
        <f ca="1">' '!A454</f>
        <v>Schwer substituierbar</v>
      </c>
      <c r="F5" s="320" t="str">
        <f ca="1">' '!A448</f>
        <v>Hauptchancen</v>
      </c>
      <c r="G5" s="320" t="str">
        <f ca="1">' '!A449</f>
        <v>Hauptgefahren</v>
      </c>
      <c r="H5" s="322" t="str">
        <f ca="1">' '!A456</f>
        <v>Status</v>
      </c>
    </row>
    <row r="6" spans="1:15" s="329" customFormat="1" ht="23.4" x14ac:dyDescent="0.3">
      <c r="A6" s="316"/>
      <c r="B6" s="324" t="s">
        <v>1523</v>
      </c>
      <c r="C6" s="325" t="s">
        <v>1521</v>
      </c>
      <c r="D6" s="326">
        <v>4</v>
      </c>
      <c r="E6" s="326">
        <v>2</v>
      </c>
      <c r="F6" s="325"/>
      <c r="G6" s="327"/>
      <c r="H6" s="328">
        <v>1</v>
      </c>
      <c r="L6" s="330"/>
    </row>
    <row r="7" spans="1:15" s="329" customFormat="1" ht="23.4" x14ac:dyDescent="0.3">
      <c r="A7" s="316"/>
      <c r="B7" s="331" t="s">
        <v>1524</v>
      </c>
      <c r="C7" s="332" t="s">
        <v>1522</v>
      </c>
      <c r="D7" s="333">
        <v>2</v>
      </c>
      <c r="E7" s="333">
        <v>4</v>
      </c>
      <c r="F7" s="332"/>
      <c r="G7" s="332"/>
      <c r="H7" s="328"/>
    </row>
    <row r="8" spans="1:15" s="329" customFormat="1" ht="23.4" x14ac:dyDescent="0.3">
      <c r="A8" s="316"/>
      <c r="B8" s="324" t="s">
        <v>1525</v>
      </c>
      <c r="C8" s="325"/>
      <c r="D8" s="326"/>
      <c r="E8" s="326"/>
      <c r="F8" s="325"/>
      <c r="G8" s="327"/>
      <c r="H8" s="328"/>
    </row>
    <row r="9" spans="1:15" s="329" customFormat="1" ht="23.4" x14ac:dyDescent="0.3">
      <c r="A9" s="316"/>
      <c r="B9" s="331" t="s">
        <v>1526</v>
      </c>
      <c r="C9" s="332"/>
      <c r="D9" s="333"/>
      <c r="E9" s="333"/>
      <c r="F9" s="332"/>
      <c r="G9" s="332"/>
      <c r="H9" s="328"/>
      <c r="N9" s="334"/>
    </row>
    <row r="10" spans="1:15" s="329" customFormat="1" ht="23.4" x14ac:dyDescent="0.3">
      <c r="A10" s="316"/>
      <c r="B10" s="324" t="s">
        <v>1527</v>
      </c>
      <c r="C10" s="325"/>
      <c r="D10" s="326"/>
      <c r="E10" s="326"/>
      <c r="F10" s="325"/>
      <c r="G10" s="327"/>
      <c r="H10" s="328"/>
      <c r="N10" s="316"/>
    </row>
    <row r="11" spans="1:15" s="329" customFormat="1" ht="23.4" x14ac:dyDescent="0.3">
      <c r="A11" s="316"/>
      <c r="B11" s="331" t="s">
        <v>1528</v>
      </c>
      <c r="C11" s="332"/>
      <c r="D11" s="333"/>
      <c r="E11" s="333"/>
      <c r="F11" s="332"/>
      <c r="G11" s="332"/>
      <c r="H11" s="335"/>
      <c r="N11" s="316"/>
    </row>
    <row r="12" spans="1:15" s="329" customFormat="1" ht="23.4" x14ac:dyDescent="0.3">
      <c r="A12" s="316"/>
      <c r="B12" s="324" t="s">
        <v>1529</v>
      </c>
      <c r="C12" s="325"/>
      <c r="D12" s="326"/>
      <c r="E12" s="326"/>
      <c r="F12" s="325"/>
      <c r="G12" s="325"/>
      <c r="H12" s="328"/>
      <c r="N12" s="316"/>
    </row>
    <row r="13" spans="1:15" s="329" customFormat="1" ht="23.4" x14ac:dyDescent="0.3">
      <c r="A13" s="316"/>
      <c r="B13" s="331" t="s">
        <v>1530</v>
      </c>
      <c r="C13" s="332"/>
      <c r="D13" s="326"/>
      <c r="E13" s="326"/>
      <c r="F13" s="332"/>
      <c r="G13" s="332"/>
      <c r="H13" s="335"/>
      <c r="N13" s="316"/>
    </row>
    <row r="14" spans="1:15" s="329" customFormat="1" ht="23.4" x14ac:dyDescent="0.3">
      <c r="A14" s="316"/>
      <c r="B14" s="324" t="s">
        <v>1531</v>
      </c>
      <c r="C14" s="325"/>
      <c r="D14" s="326"/>
      <c r="E14" s="326"/>
      <c r="F14" s="325"/>
      <c r="G14" s="325"/>
      <c r="H14" s="335"/>
      <c r="N14" s="316"/>
    </row>
    <row r="15" spans="1:15" s="329" customFormat="1" ht="23.4" x14ac:dyDescent="0.3">
      <c r="A15" s="316"/>
      <c r="B15" s="331" t="s">
        <v>1532</v>
      </c>
      <c r="C15" s="332"/>
      <c r="D15" s="326"/>
      <c r="E15" s="326"/>
      <c r="F15" s="332"/>
      <c r="G15" s="332"/>
      <c r="H15" s="335"/>
      <c r="N15" s="316"/>
    </row>
    <row r="16" spans="1:15" ht="23.4" x14ac:dyDescent="0.3">
      <c r="B16" s="324" t="s">
        <v>1533</v>
      </c>
      <c r="C16" s="325"/>
      <c r="D16" s="326"/>
      <c r="E16" s="326"/>
      <c r="F16" s="325"/>
      <c r="G16" s="325"/>
      <c r="H16" s="335"/>
    </row>
    <row r="17" spans="2:8" ht="23.4" x14ac:dyDescent="0.3">
      <c r="B17" s="336" t="s">
        <v>1534</v>
      </c>
      <c r="C17" s="337"/>
      <c r="D17" s="338"/>
      <c r="E17" s="338"/>
      <c r="F17" s="337"/>
      <c r="G17" s="337"/>
      <c r="H17" s="339"/>
    </row>
    <row r="18" spans="2:8" x14ac:dyDescent="0.3">
      <c r="B18" s="74" t="s">
        <v>2103</v>
      </c>
    </row>
    <row r="33" spans="7:7" ht="18" x14ac:dyDescent="0.35">
      <c r="G33" s="340" t="str">
        <f t="shared" ref="G33:G44" si="0">CONCATENATE("           ",B6,"    ",C6)</f>
        <v xml:space="preserve">           C1    Competence 1</v>
      </c>
    </row>
    <row r="34" spans="7:7" ht="18" x14ac:dyDescent="0.35">
      <c r="G34" s="340" t="str">
        <f t="shared" si="0"/>
        <v xml:space="preserve">           C2    Competence 2</v>
      </c>
    </row>
    <row r="35" spans="7:7" ht="18" x14ac:dyDescent="0.35">
      <c r="G35" s="340" t="str">
        <f t="shared" si="0"/>
        <v xml:space="preserve">           C3    </v>
      </c>
    </row>
    <row r="36" spans="7:7" ht="18" x14ac:dyDescent="0.35">
      <c r="G36" s="340" t="str">
        <f t="shared" si="0"/>
        <v xml:space="preserve">           C4    </v>
      </c>
    </row>
    <row r="37" spans="7:7" ht="18" x14ac:dyDescent="0.35">
      <c r="G37" s="340" t="str">
        <f t="shared" si="0"/>
        <v xml:space="preserve">           C5    </v>
      </c>
    </row>
    <row r="38" spans="7:7" ht="18" x14ac:dyDescent="0.35">
      <c r="G38" s="340" t="str">
        <f t="shared" si="0"/>
        <v xml:space="preserve">           C6    </v>
      </c>
    </row>
    <row r="39" spans="7:7" ht="18" x14ac:dyDescent="0.35">
      <c r="G39" s="340" t="str">
        <f t="shared" si="0"/>
        <v xml:space="preserve">           C7    </v>
      </c>
    </row>
    <row r="40" spans="7:7" ht="18" x14ac:dyDescent="0.35">
      <c r="G40" s="340" t="str">
        <f t="shared" si="0"/>
        <v xml:space="preserve">           C8    </v>
      </c>
    </row>
    <row r="41" spans="7:7" ht="18" x14ac:dyDescent="0.35">
      <c r="G41" s="340" t="str">
        <f t="shared" si="0"/>
        <v xml:space="preserve">           C9    </v>
      </c>
    </row>
    <row r="42" spans="7:7" ht="18" x14ac:dyDescent="0.35">
      <c r="G42" s="340" t="str">
        <f t="shared" si="0"/>
        <v xml:space="preserve">           C10    </v>
      </c>
    </row>
    <row r="43" spans="7:7" ht="18" x14ac:dyDescent="0.35">
      <c r="G43" s="340" t="str">
        <f t="shared" si="0"/>
        <v xml:space="preserve">           C11    </v>
      </c>
    </row>
    <row r="44" spans="7:7" ht="18" x14ac:dyDescent="0.35">
      <c r="G44" s="340" t="str">
        <f t="shared" si="0"/>
        <v xml:space="preserve">           C12    </v>
      </c>
    </row>
    <row r="49" spans="1:3" x14ac:dyDescent="0.3">
      <c r="B49" s="341"/>
    </row>
    <row r="51" spans="1:3" s="314" customFormat="1" x14ac:dyDescent="0.3"/>
    <row r="52" spans="1:3" ht="0.9" customHeight="1" x14ac:dyDescent="0.3">
      <c r="A52" s="342"/>
    </row>
    <row r="53" spans="1:3" x14ac:dyDescent="0.3">
      <c r="C53" s="279"/>
    </row>
  </sheetData>
  <sheetProtection sheet="1" objects="1" scenarios="1" formatCells="0" formatColumns="0" formatRows="0" insertHyperlinks="0" selectLockedCells="1" sort="0" autoFilter="0"/>
  <mergeCells count="1">
    <mergeCell ref="D4:E4"/>
  </mergeCells>
  <conditionalFormatting sqref="B6:H17">
    <cfRule type="expression" dxfId="35" priority="2">
      <formula>MOD(ROW(A2),2)=0</formula>
    </cfRule>
    <cfRule type="expression" dxfId="34" priority="3">
      <formula>MOD(ROW(A3),2)=0</formula>
    </cfRule>
  </conditionalFormatting>
  <conditionalFormatting sqref="H6:H17">
    <cfRule type="iconSet" priority="4">
      <iconSet iconSet="3Symbols2" showValue="0" reverse="1">
        <cfvo type="percent" val="0"/>
        <cfvo type="num" val="2"/>
        <cfvo type="num" val="3"/>
      </iconSet>
    </cfRule>
  </conditionalFormatting>
  <dataValidations count="3">
    <dataValidation showInputMessage="1" showErrorMessage="1" sqref="H18:H52 D18:E23" xr:uid="{00000000-0002-0000-1600-000000000000}"/>
    <dataValidation type="list" showInputMessage="1" showErrorMessage="1" sqref="D6:E17 D24:E52" xr:uid="{00000000-0002-0000-1600-000001000000}">
      <formula1>"0,1,2,3,4"</formula1>
    </dataValidation>
    <dataValidation type="list" showInputMessage="1" showErrorMessage="1" sqref="H6:H17" xr:uid="{00000000-0002-0000-1600-000002000000}">
      <formula1>"1,2,3"</formula1>
    </dataValidation>
  </dataValidations>
  <hyperlinks>
    <hyperlink ref="B53:C53" r:id="rId1" display="© iManagement - s.imboden" xr:uid="{00000000-0004-0000-1600-000000000000}"/>
  </hyperlinks>
  <printOptions horizontalCentered="1"/>
  <pageMargins left="0.25" right="0.25" top="0.75" bottom="0.75" header="0.3" footer="0.3"/>
  <pageSetup paperSize="8" orientation="portrait" r:id="rId2"/>
  <headerFooter>
    <oddFooter>&amp;L&amp;8&amp;K00-048(c) S.Imboden&amp;R&amp;8&amp;K00-048Seite &amp;P von &amp;N</oddFooter>
  </headerFooter>
  <drawing r:id="rId3"/>
  <legacy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4E54DF99-2BBD-4230-A233-1921AA7309AD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D6:D17</xm:sqref>
        </x14:conditionalFormatting>
        <x14:conditionalFormatting xmlns:xm="http://schemas.microsoft.com/office/excel/2006/main">
          <x14:cfRule type="iconSet" priority="5" id="{27341D8C-947F-46CB-B642-307BD1A0E854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E6:E17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0" tint="-0.499984740745262"/>
  </sheetPr>
  <dimension ref="A1:O9"/>
  <sheetViews>
    <sheetView showGridLines="0" zoomScaleNormal="100" workbookViewId="0">
      <pane xSplit="2" ySplit="3" topLeftCell="C4" activePane="bottomRight" state="frozen"/>
      <selection activeCell="N13" sqref="N13"/>
      <selection pane="topRight" activeCell="N13" sqref="N13"/>
      <selection pane="bottomLeft" activeCell="N13" sqref="N13"/>
      <selection pane="bottomRight" activeCell="A2" sqref="A2"/>
    </sheetView>
  </sheetViews>
  <sheetFormatPr baseColWidth="10" defaultColWidth="11.44140625" defaultRowHeight="14.4" x14ac:dyDescent="0.3"/>
  <cols>
    <col min="1" max="1" width="10.5546875" style="302" customWidth="1"/>
    <col min="2" max="2" width="6.33203125" style="302" customWidth="1"/>
    <col min="3" max="3" width="37.6640625" style="302" customWidth="1"/>
    <col min="4" max="4" width="16.109375" style="302" bestFit="1" customWidth="1"/>
    <col min="5" max="5" width="15.88671875" style="302" customWidth="1"/>
    <col min="6" max="6" width="0.88671875" style="302" customWidth="1"/>
    <col min="7" max="8" width="17.33203125" style="302" customWidth="1"/>
    <col min="9" max="9" width="18.33203125" style="302" customWidth="1"/>
    <col min="10" max="10" width="17.5546875" style="302" customWidth="1"/>
    <col min="11" max="11" width="12.44140625" style="302" customWidth="1"/>
    <col min="12" max="12" width="13.109375" style="302" bestFit="1" customWidth="1"/>
    <col min="13" max="13" width="9.6640625" style="302" bestFit="1" customWidth="1"/>
    <col min="14" max="14" width="0.6640625" style="302" customWidth="1"/>
    <col min="15" max="15" width="18.33203125" style="302" customWidth="1"/>
    <col min="16" max="16384" width="11.44140625" style="302"/>
  </cols>
  <sheetData>
    <row r="1" spans="1:15" s="66" customFormat="1" ht="45" customHeight="1" x14ac:dyDescent="0.3">
      <c r="B1" s="292"/>
      <c r="C1" s="292"/>
      <c r="D1" s="292"/>
      <c r="E1" s="292"/>
      <c r="F1" s="292">
        <f>' '!A634</f>
        <v>0</v>
      </c>
      <c r="G1" s="293"/>
      <c r="H1" s="293"/>
      <c r="I1" s="293"/>
      <c r="J1" s="293"/>
      <c r="K1" s="292"/>
      <c r="L1" s="292"/>
      <c r="M1" s="292"/>
      <c r="N1" s="293"/>
      <c r="O1" s="294"/>
    </row>
    <row r="2" spans="1:15" s="80" customFormat="1" ht="38.4" customHeight="1" x14ac:dyDescent="0.3">
      <c r="A2" s="295"/>
      <c r="B2" s="295"/>
      <c r="C2" s="296" t="str">
        <f ca="1">' '!A465</f>
        <v>Leadership</v>
      </c>
      <c r="D2" s="297"/>
      <c r="E2" s="298"/>
      <c r="F2" s="1091"/>
      <c r="G2" s="1091"/>
      <c r="H2" s="1091"/>
      <c r="I2" s="1091"/>
      <c r="J2" s="1091"/>
      <c r="K2" s="299"/>
      <c r="L2" s="298"/>
      <c r="M2" s="300"/>
      <c r="N2" s="301"/>
      <c r="O2" s="301"/>
    </row>
    <row r="3" spans="1:15" ht="9" customHeight="1" x14ac:dyDescent="0.3">
      <c r="B3" s="303"/>
    </row>
    <row r="4" spans="1:15" ht="233.25" customHeight="1" x14ac:dyDescent="0.3">
      <c r="B4" s="304" t="str">
        <f ca="1">' '!A466</f>
        <v>Direktion</v>
      </c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</row>
    <row r="5" spans="1:15" ht="138" customHeight="1" x14ac:dyDescent="0.3">
      <c r="B5" s="304" t="str">
        <f ca="1">' '!A467</f>
        <v>Projektleiter</v>
      </c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  <c r="N5" s="305"/>
      <c r="O5" s="305"/>
    </row>
    <row r="6" spans="1:15" ht="128.25" customHeight="1" x14ac:dyDescent="0.3">
      <c r="B6" s="304" t="str">
        <f ca="1">' '!A468</f>
        <v>Koordinator Cockpit</v>
      </c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</row>
    <row r="7" spans="1:15" ht="177" customHeight="1" x14ac:dyDescent="0.3">
      <c r="B7" s="304" t="str">
        <f ca="1">' '!A524</f>
        <v>Quality Manager</v>
      </c>
      <c r="C7" s="305"/>
      <c r="D7" s="305"/>
      <c r="E7" s="305"/>
      <c r="F7" s="305"/>
      <c r="G7" s="305"/>
      <c r="H7" s="305"/>
      <c r="I7" s="305"/>
      <c r="J7" s="305"/>
      <c r="K7" s="305"/>
      <c r="L7" s="305"/>
      <c r="M7" s="305"/>
      <c r="N7" s="305"/>
      <c r="O7" s="305"/>
    </row>
    <row r="8" spans="1:15" ht="13.5" customHeight="1" x14ac:dyDescent="0.3">
      <c r="B8" s="74" t="s">
        <v>2103</v>
      </c>
    </row>
    <row r="9" spans="1:15" ht="23.25" customHeight="1" x14ac:dyDescent="0.3">
      <c r="B9" s="306"/>
      <c r="C9" s="306"/>
      <c r="D9" s="307"/>
      <c r="E9" s="308"/>
    </row>
  </sheetData>
  <sheetProtection sheet="1" objects="1" scenarios="1" formatCells="0" formatColumns="0" formatRows="0" insertHyperlinks="0" selectLockedCells="1" sort="0" autoFilter="0"/>
  <mergeCells count="1">
    <mergeCell ref="F2:J2"/>
  </mergeCells>
  <conditionalFormatting sqref="B4:N7">
    <cfRule type="expression" dxfId="33" priority="1">
      <formula>MOD(ROW(A2),2)=0</formula>
    </cfRule>
  </conditionalFormatting>
  <conditionalFormatting sqref="O4:O7">
    <cfRule type="expression" dxfId="32" priority="2">
      <formula>MOD(ROW(M2),2)=0</formula>
    </cfRule>
  </conditionalFormatting>
  <dataValidations count="1">
    <dataValidation showInputMessage="1" showErrorMessage="1" sqref="G6:G7" xr:uid="{00000000-0002-0000-1700-000000000000}"/>
  </dataValidations>
  <printOptions horizontalCentered="1"/>
  <pageMargins left="0.23622047244094491" right="0.23622047244094491" top="0.74803149606299213" bottom="0.74803149606299213" header="0" footer="0.31496062992125984"/>
  <pageSetup paperSize="8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0" tint="-0.34998626667073579"/>
  </sheetPr>
  <dimension ref="A1:AB83"/>
  <sheetViews>
    <sheetView showGridLines="0" zoomScaleNormal="100" workbookViewId="0">
      <pane ySplit="1" topLeftCell="A2" activePane="bottomLeft" state="frozen"/>
      <selection activeCell="N13" sqref="N13"/>
      <selection pane="bottomLeft" activeCell="D3" sqref="D3:G3"/>
    </sheetView>
  </sheetViews>
  <sheetFormatPr baseColWidth="10" defaultColWidth="11.44140625" defaultRowHeight="14.4" x14ac:dyDescent="0.3"/>
  <cols>
    <col min="1" max="1" width="7" style="284" customWidth="1"/>
    <col min="2" max="2" width="2.6640625" style="284" customWidth="1"/>
    <col min="3" max="3" width="6.88671875" style="284" customWidth="1"/>
    <col min="4" max="6" width="3.5546875" style="284" customWidth="1"/>
    <col min="7" max="7" width="11.33203125" style="284" customWidth="1"/>
    <col min="8" max="8" width="3.44140625" style="284" customWidth="1"/>
    <col min="9" max="9" width="2" style="284" customWidth="1"/>
    <col min="10" max="10" width="1.6640625" style="284" customWidth="1"/>
    <col min="11" max="11" width="2.109375" style="284" customWidth="1"/>
    <col min="12" max="12" width="1.5546875" style="284" customWidth="1"/>
    <col min="13" max="13" width="2" style="284" customWidth="1"/>
    <col min="14" max="14" width="4" style="284" customWidth="1"/>
    <col min="15" max="15" width="10.88671875" style="284" customWidth="1"/>
    <col min="16" max="16" width="3.44140625" style="284" customWidth="1"/>
    <col min="17" max="17" width="2.33203125" style="284" customWidth="1"/>
    <col min="18" max="18" width="1.44140625" style="284" customWidth="1"/>
    <col min="19" max="19" width="2.109375" style="284" customWidth="1"/>
    <col min="20" max="20" width="1.5546875" style="284" customWidth="1"/>
    <col min="21" max="21" width="2.109375" style="284" customWidth="1"/>
    <col min="22" max="22" width="3.44140625" style="284" customWidth="1"/>
    <col min="23" max="23" width="11.109375" style="284" customWidth="1"/>
    <col min="24" max="24" width="3.5546875" style="284" customWidth="1"/>
    <col min="25" max="26" width="3.6640625" style="284" customWidth="1"/>
    <col min="27" max="27" width="12.44140625" style="284" customWidth="1"/>
    <col min="28" max="28" width="14.6640625" style="284" customWidth="1"/>
    <col min="29" max="16384" width="11.44140625" style="284"/>
  </cols>
  <sheetData>
    <row r="1" spans="1:28" s="283" customFormat="1" ht="45" customHeight="1" x14ac:dyDescent="0.3">
      <c r="A1" s="281"/>
      <c r="B1" s="282" t="str">
        <f ca="1">' '!A296</f>
        <v>U R S A C H E  -  W I R K U N G S  -  D I A G R A M M</v>
      </c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1"/>
      <c r="W1" s="281"/>
      <c r="X1" s="281"/>
      <c r="Y1" s="281"/>
      <c r="Z1" s="281"/>
      <c r="AA1" s="281"/>
      <c r="AB1" s="122"/>
    </row>
    <row r="2" spans="1:28" ht="27.75" customHeight="1" x14ac:dyDescent="0.3">
      <c r="B2" s="285"/>
      <c r="C2" s="286"/>
      <c r="D2" s="286"/>
    </row>
    <row r="3" spans="1:28" ht="26.25" customHeight="1" x14ac:dyDescent="0.3">
      <c r="D3" s="1092" t="s">
        <v>1072</v>
      </c>
      <c r="E3" s="1092"/>
      <c r="F3" s="1092"/>
      <c r="G3" s="1092"/>
      <c r="J3" s="1092" t="s">
        <v>1073</v>
      </c>
      <c r="K3" s="1092"/>
      <c r="L3" s="1092"/>
      <c r="M3" s="1092"/>
      <c r="N3" s="1092"/>
      <c r="O3" s="1092"/>
      <c r="R3" s="1092" t="s">
        <v>1074</v>
      </c>
      <c r="S3" s="1092"/>
      <c r="T3" s="1092"/>
      <c r="U3" s="1092"/>
      <c r="V3" s="1092"/>
      <c r="W3" s="1092"/>
    </row>
    <row r="4" spans="1:28" ht="17.25" customHeight="1" x14ac:dyDescent="0.3"/>
    <row r="5" spans="1:28" ht="31.5" customHeight="1" x14ac:dyDescent="0.3">
      <c r="D5" s="1093" t="s">
        <v>1075</v>
      </c>
      <c r="E5" s="1093"/>
      <c r="F5" s="1093"/>
      <c r="G5" s="1093"/>
      <c r="J5" s="1093"/>
      <c r="K5" s="1093"/>
      <c r="L5" s="1093"/>
      <c r="M5" s="1093"/>
      <c r="N5" s="1093"/>
      <c r="O5" s="1093"/>
      <c r="R5" s="1093"/>
      <c r="S5" s="1093"/>
      <c r="T5" s="1093"/>
      <c r="U5" s="1093"/>
      <c r="V5" s="1093"/>
      <c r="W5" s="1093"/>
    </row>
    <row r="6" spans="1:28" ht="9" customHeight="1" x14ac:dyDescent="0.3"/>
    <row r="7" spans="1:28" ht="31.5" customHeight="1" x14ac:dyDescent="0.3">
      <c r="E7" s="1093" t="s">
        <v>1076</v>
      </c>
      <c r="F7" s="1093"/>
      <c r="G7" s="1093"/>
      <c r="H7" s="1093"/>
      <c r="L7" s="1093"/>
      <c r="M7" s="1093"/>
      <c r="N7" s="1093"/>
      <c r="O7" s="1093"/>
      <c r="P7" s="1093"/>
      <c r="T7" s="1093"/>
      <c r="U7" s="1093"/>
      <c r="V7" s="1093"/>
      <c r="W7" s="1093"/>
      <c r="X7" s="1093"/>
    </row>
    <row r="8" spans="1:28" ht="9" customHeight="1" x14ac:dyDescent="0.3"/>
    <row r="9" spans="1:28" ht="31.5" customHeight="1" x14ac:dyDescent="0.3">
      <c r="F9" s="1093"/>
      <c r="G9" s="1093"/>
      <c r="H9" s="1093"/>
      <c r="I9" s="1093"/>
      <c r="J9" s="1093"/>
      <c r="N9" s="1093"/>
      <c r="O9" s="1093"/>
      <c r="P9" s="1093"/>
      <c r="Q9" s="1093"/>
      <c r="R9" s="1093"/>
      <c r="S9" s="287"/>
      <c r="V9" s="1093"/>
      <c r="W9" s="1093"/>
      <c r="X9" s="1093"/>
      <c r="Y9" s="1093"/>
      <c r="AB9" s="1094" t="s">
        <v>1077</v>
      </c>
    </row>
    <row r="10" spans="1:28" ht="9" customHeight="1" x14ac:dyDescent="0.3">
      <c r="AB10" s="1094"/>
    </row>
    <row r="11" spans="1:28" ht="31.5" customHeight="1" x14ac:dyDescent="0.3">
      <c r="G11" s="1093"/>
      <c r="H11" s="1093"/>
      <c r="I11" s="1093"/>
      <c r="J11" s="1093"/>
      <c r="K11" s="1093"/>
      <c r="L11" s="1093"/>
      <c r="O11" s="1093"/>
      <c r="P11" s="1093"/>
      <c r="Q11" s="1093"/>
      <c r="R11" s="1093"/>
      <c r="S11" s="1093"/>
      <c r="T11" s="1093"/>
      <c r="W11" s="1093"/>
      <c r="X11" s="1093"/>
      <c r="Y11" s="1093"/>
      <c r="Z11" s="1093"/>
      <c r="AB11" s="1094"/>
    </row>
    <row r="12" spans="1:28" ht="9" customHeight="1" x14ac:dyDescent="0.3">
      <c r="AB12" s="1094"/>
    </row>
    <row r="13" spans="1:28" ht="31.5" customHeight="1" x14ac:dyDescent="0.3">
      <c r="G13" s="1093"/>
      <c r="H13" s="1093"/>
      <c r="I13" s="1093"/>
      <c r="J13" s="1093"/>
      <c r="K13" s="1093"/>
      <c r="L13" s="1093"/>
      <c r="O13" s="1093"/>
      <c r="P13" s="1093"/>
      <c r="Q13" s="1093"/>
      <c r="R13" s="1093"/>
      <c r="S13" s="1093"/>
      <c r="T13" s="1093"/>
      <c r="W13" s="1093"/>
      <c r="X13" s="1093"/>
      <c r="Y13" s="1093"/>
      <c r="Z13" s="1093"/>
      <c r="AB13" s="1094"/>
    </row>
    <row r="14" spans="1:28" ht="9" customHeight="1" x14ac:dyDescent="0.3">
      <c r="AB14" s="1094"/>
    </row>
    <row r="15" spans="1:28" ht="31.5" customHeight="1" x14ac:dyDescent="0.3">
      <c r="F15" s="1093"/>
      <c r="G15" s="1093"/>
      <c r="H15" s="1093"/>
      <c r="I15" s="1093"/>
      <c r="J15" s="1093"/>
      <c r="N15" s="1093"/>
      <c r="O15" s="1093"/>
      <c r="P15" s="1093"/>
      <c r="Q15" s="1093"/>
      <c r="R15" s="1093"/>
      <c r="V15" s="1093"/>
      <c r="W15" s="1093"/>
      <c r="X15" s="1093"/>
      <c r="Y15" s="1093"/>
      <c r="AB15" s="1094"/>
    </row>
    <row r="16" spans="1:28" ht="9" customHeight="1" x14ac:dyDescent="0.3"/>
    <row r="17" spans="2:24" ht="31.5" customHeight="1" x14ac:dyDescent="0.3">
      <c r="E17" s="1093"/>
      <c r="F17" s="1093"/>
      <c r="G17" s="1093"/>
      <c r="H17" s="1093"/>
      <c r="L17" s="1093"/>
      <c r="M17" s="1093"/>
      <c r="N17" s="1093"/>
      <c r="O17" s="1093"/>
      <c r="P17" s="1093"/>
      <c r="T17" s="1093"/>
      <c r="U17" s="1093"/>
      <c r="V17" s="1093"/>
      <c r="W17" s="1093"/>
      <c r="X17" s="1093"/>
    </row>
    <row r="18" spans="2:24" ht="9" customHeight="1" x14ac:dyDescent="0.3"/>
    <row r="19" spans="2:24" ht="31.5" customHeight="1" x14ac:dyDescent="0.3">
      <c r="D19" s="1093"/>
      <c r="E19" s="1093"/>
      <c r="F19" s="1093"/>
      <c r="G19" s="1093"/>
      <c r="J19" s="1093"/>
      <c r="K19" s="1093"/>
      <c r="L19" s="1093"/>
      <c r="M19" s="1093"/>
      <c r="N19" s="1093"/>
      <c r="O19" s="1093"/>
      <c r="R19" s="1093"/>
      <c r="S19" s="1093"/>
      <c r="T19" s="1093"/>
      <c r="U19" s="1093"/>
      <c r="V19" s="1093"/>
      <c r="W19" s="1093"/>
    </row>
    <row r="20" spans="2:24" ht="17.25" customHeight="1" x14ac:dyDescent="0.3"/>
    <row r="21" spans="2:24" ht="26.25" customHeight="1" x14ac:dyDescent="0.3">
      <c r="D21" s="1092" t="s">
        <v>1078</v>
      </c>
      <c r="E21" s="1092"/>
      <c r="F21" s="1092"/>
      <c r="G21" s="1092"/>
      <c r="J21" s="1092" t="s">
        <v>1079</v>
      </c>
      <c r="K21" s="1092"/>
      <c r="L21" s="1092"/>
      <c r="M21" s="1092"/>
      <c r="N21" s="1092"/>
      <c r="O21" s="1092"/>
      <c r="R21" s="1092" t="s">
        <v>1080</v>
      </c>
      <c r="S21" s="1092"/>
      <c r="T21" s="1092"/>
      <c r="U21" s="1092"/>
      <c r="V21" s="1092"/>
      <c r="W21" s="1092"/>
    </row>
    <row r="23" spans="2:24" x14ac:dyDescent="0.3">
      <c r="B23" s="97"/>
      <c r="D23" s="74" t="s">
        <v>2103</v>
      </c>
    </row>
    <row r="25" spans="2:24" ht="11.25" customHeight="1" x14ac:dyDescent="0.3">
      <c r="D25" s="288"/>
      <c r="E25" s="288"/>
      <c r="H25" s="289"/>
      <c r="I25" s="288"/>
      <c r="J25" s="288"/>
      <c r="K25" s="289"/>
      <c r="L25" s="290"/>
    </row>
    <row r="83" spans="5:5" ht="15.6" x14ac:dyDescent="0.3">
      <c r="E83" s="291"/>
    </row>
  </sheetData>
  <sheetProtection sheet="1" objects="1" scenarios="1" formatCells="0" formatColumns="0" formatRows="0" insertHyperlinks="0" selectLockedCells="1" sort="0" autoFilter="0"/>
  <mergeCells count="31">
    <mergeCell ref="D21:G21"/>
    <mergeCell ref="J21:O21"/>
    <mergeCell ref="R21:W21"/>
    <mergeCell ref="E17:H17"/>
    <mergeCell ref="L17:P17"/>
    <mergeCell ref="T17:X17"/>
    <mergeCell ref="D19:G19"/>
    <mergeCell ref="J19:O19"/>
    <mergeCell ref="R19:W19"/>
    <mergeCell ref="AB9:AB15"/>
    <mergeCell ref="G11:L11"/>
    <mergeCell ref="O11:T11"/>
    <mergeCell ref="W11:Z11"/>
    <mergeCell ref="G13:L13"/>
    <mergeCell ref="O13:T13"/>
    <mergeCell ref="W13:Z13"/>
    <mergeCell ref="F15:J15"/>
    <mergeCell ref="N15:R15"/>
    <mergeCell ref="V15:Y15"/>
    <mergeCell ref="E7:H7"/>
    <mergeCell ref="L7:P7"/>
    <mergeCell ref="T7:X7"/>
    <mergeCell ref="F9:J9"/>
    <mergeCell ref="N9:R9"/>
    <mergeCell ref="V9:Y9"/>
    <mergeCell ref="D3:G3"/>
    <mergeCell ref="J3:O3"/>
    <mergeCell ref="R3:W3"/>
    <mergeCell ref="D5:G5"/>
    <mergeCell ref="J5:O5"/>
    <mergeCell ref="R5:W5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9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Tabelle13">
    <tabColor theme="0" tint="-0.34998626667073579"/>
    <pageSetUpPr fitToPage="1"/>
  </sheetPr>
  <dimension ref="A1:K99"/>
  <sheetViews>
    <sheetView showGridLines="0" zoomScaleNormal="100" workbookViewId="0">
      <pane ySplit="4" topLeftCell="A5" activePane="bottomLeft" state="frozen"/>
      <selection activeCell="N13" sqref="N13"/>
      <selection pane="bottomLeft" activeCell="C5" sqref="C5"/>
    </sheetView>
  </sheetViews>
  <sheetFormatPr baseColWidth="10" defaultColWidth="12.5546875" defaultRowHeight="14.4" x14ac:dyDescent="0.3"/>
  <cols>
    <col min="1" max="1" width="7" style="110" customWidth="1"/>
    <col min="2" max="2" width="4.5546875" style="253" customWidth="1"/>
    <col min="3" max="3" width="29" style="253" customWidth="1"/>
    <col min="4" max="4" width="11.6640625" style="253" customWidth="1"/>
    <col min="5" max="5" width="13.88671875" style="253" customWidth="1"/>
    <col min="6" max="6" width="54.109375" style="253" customWidth="1"/>
    <col min="7" max="7" width="7.44140625" style="253" customWidth="1"/>
    <col min="8" max="8" width="0.109375" style="252" customWidth="1"/>
    <col min="9" max="9" width="7" style="253" customWidth="1"/>
    <col min="10" max="18" width="4" style="253" customWidth="1"/>
    <col min="19" max="16384" width="12.5546875" style="253"/>
  </cols>
  <sheetData>
    <row r="1" spans="1:11" s="249" customFormat="1" ht="45" customHeight="1" x14ac:dyDescent="0.3">
      <c r="A1" s="166"/>
      <c r="B1" s="247" t="str">
        <f ca="1">' '!A126</f>
        <v>K O S T E N  -  N U T Z E N</v>
      </c>
      <c r="C1" s="247"/>
      <c r="D1" s="247"/>
      <c r="E1" s="247"/>
      <c r="F1" s="247"/>
      <c r="G1" s="122"/>
      <c r="H1" s="248"/>
      <c r="J1" s="250"/>
    </row>
    <row r="2" spans="1:11" s="115" customFormat="1" ht="14.25" customHeight="1" x14ac:dyDescent="0.3">
      <c r="A2" s="110"/>
      <c r="B2" s="251"/>
      <c r="H2" s="252"/>
    </row>
    <row r="3" spans="1:11" x14ac:dyDescent="0.3">
      <c r="A3" s="139"/>
    </row>
    <row r="4" spans="1:11" ht="41.25" customHeight="1" x14ac:dyDescent="0.3">
      <c r="B4" s="254" t="str">
        <f ca="1">' '!A78</f>
        <v>Nr.</v>
      </c>
      <c r="C4" s="255" t="str">
        <f ca="1">' '!A130</f>
        <v>Änderung</v>
      </c>
      <c r="D4" s="255" t="str">
        <f ca="1">' '!A131</f>
        <v>Kosten</v>
      </c>
      <c r="E4" s="255" t="str">
        <f ca="1">' '!A127</f>
        <v>Nutzen</v>
      </c>
      <c r="F4" s="255" t="str">
        <f ca="1">' '!A133</f>
        <v>Bemerkungen</v>
      </c>
      <c r="G4" s="256" t="str">
        <f ca="1">' '!A84</f>
        <v>Status</v>
      </c>
      <c r="K4" s="115"/>
    </row>
    <row r="5" spans="1:11" ht="31.5" customHeight="1" x14ac:dyDescent="0.3">
      <c r="B5" s="257" t="s">
        <v>762</v>
      </c>
      <c r="C5" s="258" t="s">
        <v>782</v>
      </c>
      <c r="D5" s="259">
        <v>8</v>
      </c>
      <c r="E5" s="260">
        <v>5</v>
      </c>
      <c r="F5" s="261"/>
      <c r="G5" s="262">
        <v>2</v>
      </c>
      <c r="H5" s="252">
        <v>1</v>
      </c>
      <c r="K5" s="115"/>
    </row>
    <row r="6" spans="1:11" ht="31.5" customHeight="1" x14ac:dyDescent="0.3">
      <c r="B6" s="257" t="s">
        <v>763</v>
      </c>
      <c r="C6" s="258" t="s">
        <v>783</v>
      </c>
      <c r="D6" s="259">
        <v>2</v>
      </c>
      <c r="E6" s="260">
        <v>10</v>
      </c>
      <c r="F6" s="261"/>
      <c r="G6" s="262">
        <v>3</v>
      </c>
      <c r="H6" s="252">
        <v>1</v>
      </c>
      <c r="K6" s="115"/>
    </row>
    <row r="7" spans="1:11" ht="31.5" customHeight="1" x14ac:dyDescent="0.3">
      <c r="B7" s="257" t="s">
        <v>764</v>
      </c>
      <c r="C7" s="263"/>
      <c r="D7" s="264"/>
      <c r="E7" s="265"/>
      <c r="F7" s="266"/>
      <c r="G7" s="267"/>
      <c r="H7" s="252">
        <v>1</v>
      </c>
      <c r="K7" s="115"/>
    </row>
    <row r="8" spans="1:11" ht="31.5" customHeight="1" x14ac:dyDescent="0.3">
      <c r="B8" s="257" t="s">
        <v>765</v>
      </c>
      <c r="C8" s="268"/>
      <c r="D8" s="264"/>
      <c r="E8" s="265"/>
      <c r="F8" s="269"/>
      <c r="G8" s="270"/>
      <c r="H8" s="252">
        <v>1</v>
      </c>
      <c r="K8" s="115"/>
    </row>
    <row r="9" spans="1:11" ht="31.5" customHeight="1" x14ac:dyDescent="0.3">
      <c r="B9" s="257" t="s">
        <v>766</v>
      </c>
      <c r="C9" s="263"/>
      <c r="D9" s="264"/>
      <c r="E9" s="265"/>
      <c r="F9" s="266"/>
      <c r="G9" s="267"/>
      <c r="H9" s="252">
        <v>1</v>
      </c>
      <c r="K9" s="115"/>
    </row>
    <row r="10" spans="1:11" ht="31.5" customHeight="1" x14ac:dyDescent="0.3">
      <c r="B10" s="257" t="s">
        <v>767</v>
      </c>
      <c r="C10" s="268"/>
      <c r="D10" s="264"/>
      <c r="E10" s="265"/>
      <c r="F10" s="269"/>
      <c r="G10" s="270"/>
      <c r="H10" s="252">
        <v>1</v>
      </c>
      <c r="K10" s="115"/>
    </row>
    <row r="11" spans="1:11" ht="31.5" customHeight="1" x14ac:dyDescent="0.3">
      <c r="B11" s="257" t="s">
        <v>768</v>
      </c>
      <c r="C11" s="263"/>
      <c r="D11" s="264"/>
      <c r="E11" s="265"/>
      <c r="F11" s="266"/>
      <c r="G11" s="267"/>
      <c r="H11" s="252">
        <v>1</v>
      </c>
      <c r="K11" s="115"/>
    </row>
    <row r="12" spans="1:11" ht="31.5" customHeight="1" x14ac:dyDescent="0.3">
      <c r="B12" s="257" t="s">
        <v>769</v>
      </c>
      <c r="C12" s="268"/>
      <c r="D12" s="264"/>
      <c r="E12" s="265"/>
      <c r="F12" s="269"/>
      <c r="G12" s="270"/>
      <c r="H12" s="252">
        <v>1</v>
      </c>
      <c r="K12" s="115"/>
    </row>
    <row r="13" spans="1:11" ht="31.5" customHeight="1" x14ac:dyDescent="0.3">
      <c r="B13" s="257" t="s">
        <v>770</v>
      </c>
      <c r="C13" s="263"/>
      <c r="D13" s="264"/>
      <c r="E13" s="265"/>
      <c r="F13" s="266"/>
      <c r="G13" s="267"/>
      <c r="H13" s="252">
        <v>1</v>
      </c>
      <c r="K13" s="115"/>
    </row>
    <row r="14" spans="1:11" ht="31.5" customHeight="1" x14ac:dyDescent="0.3">
      <c r="B14" s="257" t="s">
        <v>771</v>
      </c>
      <c r="C14" s="263"/>
      <c r="D14" s="264"/>
      <c r="E14" s="265"/>
      <c r="F14" s="266"/>
      <c r="G14" s="270"/>
      <c r="H14" s="252">
        <v>1</v>
      </c>
      <c r="K14" s="115"/>
    </row>
    <row r="15" spans="1:11" ht="31.5" customHeight="1" x14ac:dyDescent="0.3">
      <c r="B15" s="257" t="s">
        <v>772</v>
      </c>
      <c r="C15" s="263"/>
      <c r="D15" s="264"/>
      <c r="E15" s="265"/>
      <c r="F15" s="266"/>
      <c r="G15" s="267"/>
      <c r="H15" s="252">
        <v>1</v>
      </c>
      <c r="K15" s="115"/>
    </row>
    <row r="16" spans="1:11" ht="31.5" customHeight="1" x14ac:dyDescent="0.3">
      <c r="B16" s="257" t="s">
        <v>773</v>
      </c>
      <c r="C16" s="263"/>
      <c r="D16" s="264"/>
      <c r="E16" s="265"/>
      <c r="F16" s="266"/>
      <c r="G16" s="270"/>
      <c r="H16" s="252">
        <v>1</v>
      </c>
    </row>
    <row r="17" spans="2:8" ht="31.5" customHeight="1" x14ac:dyDescent="0.3">
      <c r="B17" s="257" t="s">
        <v>774</v>
      </c>
      <c r="C17" s="263"/>
      <c r="D17" s="264"/>
      <c r="E17" s="265"/>
      <c r="F17" s="266"/>
      <c r="G17" s="267"/>
      <c r="H17" s="252">
        <v>1</v>
      </c>
    </row>
    <row r="18" spans="2:8" ht="31.5" customHeight="1" x14ac:dyDescent="0.3">
      <c r="B18" s="257" t="s">
        <v>775</v>
      </c>
      <c r="C18" s="263"/>
      <c r="D18" s="264"/>
      <c r="E18" s="265"/>
      <c r="F18" s="266"/>
      <c r="G18" s="270"/>
      <c r="H18" s="252">
        <v>1</v>
      </c>
    </row>
    <row r="19" spans="2:8" ht="31.5" customHeight="1" x14ac:dyDescent="0.3">
      <c r="B19" s="257" t="s">
        <v>776</v>
      </c>
      <c r="C19" s="263"/>
      <c r="D19" s="264"/>
      <c r="E19" s="265"/>
      <c r="F19" s="266"/>
      <c r="G19" s="267"/>
      <c r="H19" s="252">
        <v>1</v>
      </c>
    </row>
    <row r="20" spans="2:8" ht="31.5" customHeight="1" x14ac:dyDescent="0.3">
      <c r="B20" s="257" t="s">
        <v>777</v>
      </c>
      <c r="C20" s="263"/>
      <c r="D20" s="264"/>
      <c r="E20" s="265"/>
      <c r="F20" s="266"/>
      <c r="G20" s="267"/>
      <c r="H20" s="252">
        <v>1</v>
      </c>
    </row>
    <row r="21" spans="2:8" ht="31.5" customHeight="1" x14ac:dyDescent="0.3">
      <c r="B21" s="257" t="s">
        <v>778</v>
      </c>
      <c r="C21" s="263"/>
      <c r="D21" s="264"/>
      <c r="E21" s="265"/>
      <c r="F21" s="266"/>
      <c r="G21" s="270"/>
      <c r="H21" s="252">
        <v>1</v>
      </c>
    </row>
    <row r="22" spans="2:8" ht="31.5" customHeight="1" x14ac:dyDescent="0.3">
      <c r="B22" s="257" t="s">
        <v>779</v>
      </c>
      <c r="C22" s="263"/>
      <c r="D22" s="264"/>
      <c r="E22" s="265"/>
      <c r="F22" s="266"/>
      <c r="G22" s="267"/>
      <c r="H22" s="252">
        <v>1</v>
      </c>
    </row>
    <row r="23" spans="2:8" ht="31.5" customHeight="1" x14ac:dyDescent="0.3">
      <c r="B23" s="257" t="s">
        <v>780</v>
      </c>
      <c r="C23" s="263"/>
      <c r="D23" s="264"/>
      <c r="E23" s="265"/>
      <c r="F23" s="266"/>
      <c r="G23" s="270"/>
      <c r="H23" s="252">
        <v>1</v>
      </c>
    </row>
    <row r="24" spans="2:8" ht="31.5" customHeight="1" x14ac:dyDescent="0.3">
      <c r="B24" s="271" t="s">
        <v>781</v>
      </c>
      <c r="C24" s="272"/>
      <c r="D24" s="273"/>
      <c r="E24" s="274"/>
      <c r="F24" s="275"/>
      <c r="G24" s="276"/>
      <c r="H24" s="252">
        <v>1</v>
      </c>
    </row>
    <row r="25" spans="2:8" x14ac:dyDescent="0.3">
      <c r="B25" s="74" t="s">
        <v>2103</v>
      </c>
      <c r="C25" s="97"/>
    </row>
    <row r="64" spans="1:1" ht="0.9" customHeight="1" x14ac:dyDescent="0.3">
      <c r="A64" s="277"/>
    </row>
    <row r="65" spans="2:4" x14ac:dyDescent="0.3">
      <c r="B65" s="278" t="s">
        <v>2104</v>
      </c>
      <c r="C65" s="279"/>
    </row>
    <row r="80" spans="2:4" x14ac:dyDescent="0.3">
      <c r="D80" s="280"/>
    </row>
    <row r="81" spans="4:4" x14ac:dyDescent="0.3">
      <c r="D81" s="115"/>
    </row>
    <row r="82" spans="4:4" x14ac:dyDescent="0.3">
      <c r="D82" s="115"/>
    </row>
    <row r="83" spans="4:4" x14ac:dyDescent="0.3">
      <c r="D83" s="115"/>
    </row>
    <row r="84" spans="4:4" x14ac:dyDescent="0.3">
      <c r="D84" s="115"/>
    </row>
    <row r="85" spans="4:4" x14ac:dyDescent="0.3">
      <c r="D85" s="115"/>
    </row>
    <row r="86" spans="4:4" x14ac:dyDescent="0.3">
      <c r="D86" s="115"/>
    </row>
    <row r="87" spans="4:4" x14ac:dyDescent="0.3">
      <c r="D87" s="115"/>
    </row>
    <row r="88" spans="4:4" x14ac:dyDescent="0.3">
      <c r="D88" s="115"/>
    </row>
    <row r="89" spans="4:4" x14ac:dyDescent="0.3">
      <c r="D89" s="115"/>
    </row>
    <row r="90" spans="4:4" x14ac:dyDescent="0.3">
      <c r="D90" s="115"/>
    </row>
    <row r="91" spans="4:4" x14ac:dyDescent="0.3">
      <c r="D91" s="115"/>
    </row>
    <row r="92" spans="4:4" x14ac:dyDescent="0.3">
      <c r="D92" s="115"/>
    </row>
    <row r="93" spans="4:4" x14ac:dyDescent="0.3">
      <c r="D93" s="115"/>
    </row>
    <row r="94" spans="4:4" x14ac:dyDescent="0.3">
      <c r="D94" s="115"/>
    </row>
    <row r="95" spans="4:4" x14ac:dyDescent="0.3">
      <c r="D95" s="115"/>
    </row>
    <row r="96" spans="4:4" x14ac:dyDescent="0.3">
      <c r="D96" s="115"/>
    </row>
    <row r="97" spans="4:4" x14ac:dyDescent="0.3">
      <c r="D97" s="115"/>
    </row>
    <row r="98" spans="4:4" x14ac:dyDescent="0.3">
      <c r="D98" s="115"/>
    </row>
    <row r="99" spans="4:4" x14ac:dyDescent="0.3">
      <c r="D99" s="115"/>
    </row>
  </sheetData>
  <sheetProtection sheet="1" objects="1" scenarios="1" formatCells="0" formatColumns="0" formatRows="0" insertHyperlinks="0" selectLockedCells="1" sort="0" autoFilter="0"/>
  <conditionalFormatting sqref="B5:G24">
    <cfRule type="expression" dxfId="31" priority="9">
      <formula>MOD(ROW(A1),2)=0</formula>
    </cfRule>
    <cfRule type="expression" dxfId="30" priority="10">
      <formula>MOD(ROW(A2),2)=0</formula>
    </cfRule>
  </conditionalFormatting>
  <conditionalFormatting sqref="D5:D24">
    <cfRule type="iconSet" priority="1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:E23">
    <cfRule type="iconSet" priority="12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D5:E24" xr:uid="{00000000-0002-0000-1900-000000000000}">
      <formula1>"1,2,3,4,5,6,7,8,9,10"</formula1>
    </dataValidation>
    <dataValidation type="list" allowBlank="1" showInputMessage="1" showErrorMessage="1" sqref="I25:I64 G5:G24" xr:uid="{00000000-0002-0000-1900-000001000000}">
      <formula1>"1,2,3"</formula1>
    </dataValidation>
  </dataValidations>
  <hyperlinks>
    <hyperlink ref="B65:C65" r:id="rId1" display="© iManagement - s.imboden" xr:uid="{00000000-0004-0000-1900-000000000000}"/>
  </hyperlinks>
  <printOptions horizontalCentered="1" verticalCentered="1"/>
  <pageMargins left="0.23622047244094491" right="0.23622047244094491" top="0.19685039370078741" bottom="0.19685039370078741" header="0.19685039370078741" footer="0.19685039370078741"/>
  <pageSetup paperSize="8" scale="89" orientation="portrait" r:id="rId2"/>
  <headerFooter>
    <oddFooter>&amp;L&amp;8&amp;K00-048(c) S.Imboden&amp;R&amp;8&amp;K00-048Seite &amp;P von &amp;N</oddFooter>
  </headerFooter>
  <rowBreaks count="1" manualBreakCount="1">
    <brk id="27" max="16383" man="1"/>
  </rowBreaks>
  <drawing r:id="rId3"/>
  <legacy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AFCD472A-2F6D-4142-8FDB-B60CBCC2709C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G5:G24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Tabelle27">
    <tabColor theme="0" tint="-0.34998626667073579"/>
    <pageSetUpPr fitToPage="1"/>
  </sheetPr>
  <dimension ref="A1:Q27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3.8" x14ac:dyDescent="0.3"/>
  <cols>
    <col min="1" max="1" width="7" style="97" customWidth="1"/>
    <col min="2" max="2" width="4.33203125" style="97" customWidth="1"/>
    <col min="3" max="3" width="29.33203125" style="97" customWidth="1"/>
    <col min="4" max="4" width="7" style="97" customWidth="1"/>
    <col min="5" max="5" width="11" style="97" bestFit="1" customWidth="1"/>
    <col min="6" max="6" width="8.109375" style="97" customWidth="1"/>
    <col min="7" max="7" width="11" style="97" bestFit="1" customWidth="1"/>
    <col min="8" max="8" width="8.109375" style="97" customWidth="1"/>
    <col min="9" max="9" width="11" style="97" bestFit="1" customWidth="1"/>
    <col min="10" max="10" width="8.109375" style="97" customWidth="1"/>
    <col min="11" max="11" width="11" style="97" bestFit="1" customWidth="1"/>
    <col min="12" max="12" width="8.109375" style="97" customWidth="1"/>
    <col min="13" max="13" width="11" style="97" bestFit="1" customWidth="1"/>
    <col min="14" max="14" width="8.109375" style="97" customWidth="1"/>
    <col min="15" max="15" width="11" style="97" bestFit="1" customWidth="1"/>
    <col min="16" max="16" width="8.109375" style="97" customWidth="1"/>
    <col min="17" max="19" width="3.44140625" style="97" customWidth="1"/>
    <col min="20" max="20" width="11.44140625" style="97" customWidth="1"/>
    <col min="21" max="16384" width="11.44140625" style="97"/>
  </cols>
  <sheetData>
    <row r="1" spans="1:17" s="80" customFormat="1" ht="45" customHeight="1" x14ac:dyDescent="0.3">
      <c r="A1" s="215"/>
      <c r="B1" s="81" t="str">
        <f ca="1">' '!A290</f>
        <v>I D E E   V E R G L E I C H S  - M A T R I X</v>
      </c>
      <c r="C1" s="132"/>
      <c r="D1" s="132"/>
      <c r="E1" s="81"/>
      <c r="F1" s="81"/>
      <c r="G1" s="81"/>
      <c r="H1" s="81"/>
      <c r="I1" s="81"/>
      <c r="J1" s="81"/>
      <c r="K1" s="81"/>
      <c r="L1" s="82"/>
      <c r="M1" s="82"/>
      <c r="N1" s="81"/>
      <c r="O1" s="81"/>
      <c r="P1" s="82"/>
      <c r="Q1" s="84"/>
    </row>
    <row r="2" spans="1:17" s="79" customFormat="1" ht="1.2" customHeight="1" x14ac:dyDescent="0.3">
      <c r="A2" s="134"/>
      <c r="B2" s="134"/>
      <c r="C2" s="134"/>
      <c r="D2" s="134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6"/>
    </row>
    <row r="3" spans="1:17" ht="33.75" customHeight="1" x14ac:dyDescent="0.3">
      <c r="A3" s="66"/>
      <c r="B3" s="137"/>
    </row>
    <row r="4" spans="1:17" ht="15.6" x14ac:dyDescent="0.3">
      <c r="A4" s="66"/>
      <c r="B4" s="137"/>
      <c r="D4" s="97" t="str">
        <f>E15</f>
        <v>Idee 1</v>
      </c>
      <c r="E4" s="97" t="str">
        <f>G15</f>
        <v>Idee 2</v>
      </c>
      <c r="F4" s="97" t="str">
        <f>I15</f>
        <v>Idee 3</v>
      </c>
      <c r="G4" s="97" t="str">
        <f>K15</f>
        <v>?</v>
      </c>
      <c r="H4" s="97" t="str">
        <f>M15</f>
        <v>?</v>
      </c>
      <c r="I4" s="97" t="str">
        <f>O15</f>
        <v>?</v>
      </c>
    </row>
    <row r="5" spans="1:17" ht="15.6" x14ac:dyDescent="0.3">
      <c r="A5" s="66"/>
      <c r="B5" s="137"/>
      <c r="C5" s="216" t="str">
        <f t="shared" ref="C5:C12" si="0">C17</f>
        <v>Kriterium 1</v>
      </c>
      <c r="D5" s="97">
        <f>F17</f>
        <v>100</v>
      </c>
      <c r="E5" s="97">
        <f>H17</f>
        <v>40</v>
      </c>
      <c r="F5" s="97">
        <f>J17</f>
        <v>40</v>
      </c>
      <c r="G5" s="97">
        <f>L17</f>
        <v>40</v>
      </c>
      <c r="H5" s="97">
        <f>N17</f>
        <v>40</v>
      </c>
      <c r="I5" s="97">
        <f>P17</f>
        <v>40</v>
      </c>
    </row>
    <row r="6" spans="1:17" ht="15.6" x14ac:dyDescent="0.3">
      <c r="A6" s="66"/>
      <c r="B6" s="137"/>
      <c r="C6" s="216" t="str">
        <f t="shared" si="0"/>
        <v>Kriterium 2</v>
      </c>
      <c r="D6" s="97">
        <f>F18</f>
        <v>25</v>
      </c>
      <c r="E6" s="97">
        <f t="shared" ref="E6:E12" si="1">H18</f>
        <v>25</v>
      </c>
      <c r="F6" s="97">
        <f t="shared" ref="F6:F12" si="2">J18</f>
        <v>25</v>
      </c>
      <c r="G6" s="97">
        <f t="shared" ref="G6:G12" si="3">L18</f>
        <v>25</v>
      </c>
      <c r="H6" s="97">
        <f t="shared" ref="H6:H12" si="4">N18</f>
        <v>25</v>
      </c>
      <c r="I6" s="97">
        <f t="shared" ref="I6:I12" si="5">P18</f>
        <v>25</v>
      </c>
    </row>
    <row r="7" spans="1:17" ht="15.6" x14ac:dyDescent="0.3">
      <c r="A7" s="66"/>
      <c r="B7" s="137"/>
      <c r="C7" s="216" t="str">
        <f t="shared" si="0"/>
        <v>Kriterium 3</v>
      </c>
      <c r="D7" s="97">
        <f t="shared" ref="D7:D12" si="6">F19</f>
        <v>25</v>
      </c>
      <c r="E7" s="97">
        <f t="shared" si="1"/>
        <v>25</v>
      </c>
      <c r="F7" s="97">
        <f t="shared" si="2"/>
        <v>25</v>
      </c>
      <c r="G7" s="97">
        <f t="shared" si="3"/>
        <v>25</v>
      </c>
      <c r="H7" s="97">
        <f t="shared" si="4"/>
        <v>25</v>
      </c>
      <c r="I7" s="97">
        <f t="shared" si="5"/>
        <v>25</v>
      </c>
    </row>
    <row r="8" spans="1:17" ht="15.6" x14ac:dyDescent="0.3">
      <c r="A8" s="66"/>
      <c r="B8" s="137"/>
      <c r="C8" s="216" t="str">
        <f t="shared" si="0"/>
        <v>?</v>
      </c>
      <c r="D8" s="97">
        <f t="shared" si="6"/>
        <v>81</v>
      </c>
      <c r="E8" s="97">
        <f t="shared" si="1"/>
        <v>81</v>
      </c>
      <c r="F8" s="97">
        <f t="shared" si="2"/>
        <v>54</v>
      </c>
      <c r="G8" s="97">
        <f t="shared" si="3"/>
        <v>36</v>
      </c>
      <c r="H8" s="97">
        <f t="shared" si="4"/>
        <v>9</v>
      </c>
      <c r="I8" s="97">
        <f t="shared" si="5"/>
        <v>18</v>
      </c>
    </row>
    <row r="9" spans="1:17" ht="15.6" x14ac:dyDescent="0.3">
      <c r="A9" s="66"/>
      <c r="B9" s="137"/>
      <c r="C9" s="216" t="str">
        <f t="shared" si="0"/>
        <v>?</v>
      </c>
      <c r="D9" s="97">
        <f t="shared" si="6"/>
        <v>16</v>
      </c>
      <c r="E9" s="97">
        <f t="shared" si="1"/>
        <v>16</v>
      </c>
      <c r="F9" s="97">
        <f t="shared" si="2"/>
        <v>16</v>
      </c>
      <c r="G9" s="97">
        <f t="shared" si="3"/>
        <v>16</v>
      </c>
      <c r="H9" s="97">
        <f t="shared" si="4"/>
        <v>16</v>
      </c>
      <c r="I9" s="97">
        <f t="shared" si="5"/>
        <v>16</v>
      </c>
    </row>
    <row r="10" spans="1:17" ht="15.6" x14ac:dyDescent="0.3">
      <c r="A10" s="66"/>
      <c r="B10" s="137"/>
      <c r="C10" s="216" t="str">
        <f t="shared" si="0"/>
        <v>?</v>
      </c>
      <c r="D10" s="97">
        <f t="shared" si="6"/>
        <v>35</v>
      </c>
      <c r="E10" s="97">
        <f t="shared" si="1"/>
        <v>30</v>
      </c>
      <c r="F10" s="97">
        <f t="shared" si="2"/>
        <v>35</v>
      </c>
      <c r="G10" s="97">
        <f t="shared" si="3"/>
        <v>30</v>
      </c>
      <c r="H10" s="97">
        <f t="shared" si="4"/>
        <v>30</v>
      </c>
      <c r="I10" s="97">
        <f t="shared" si="5"/>
        <v>30</v>
      </c>
    </row>
    <row r="11" spans="1:17" x14ac:dyDescent="0.3">
      <c r="A11" s="139" t="s">
        <v>407</v>
      </c>
      <c r="B11" s="140"/>
      <c r="C11" s="216" t="str">
        <f t="shared" si="0"/>
        <v>?</v>
      </c>
      <c r="D11" s="97">
        <f t="shared" si="6"/>
        <v>9</v>
      </c>
      <c r="E11" s="97">
        <f t="shared" si="1"/>
        <v>9</v>
      </c>
      <c r="F11" s="97">
        <f t="shared" si="2"/>
        <v>9</v>
      </c>
      <c r="G11" s="97">
        <f t="shared" si="3"/>
        <v>9</v>
      </c>
      <c r="H11" s="97">
        <f t="shared" si="4"/>
        <v>9</v>
      </c>
      <c r="I11" s="97">
        <f t="shared" si="5"/>
        <v>27</v>
      </c>
    </row>
    <row r="12" spans="1:17" x14ac:dyDescent="0.3">
      <c r="B12" s="141"/>
      <c r="C12" s="216" t="str">
        <f t="shared" si="0"/>
        <v>?</v>
      </c>
      <c r="D12" s="97">
        <f t="shared" si="6"/>
        <v>20</v>
      </c>
      <c r="E12" s="97">
        <f t="shared" si="1"/>
        <v>20</v>
      </c>
      <c r="F12" s="97">
        <f t="shared" si="2"/>
        <v>20</v>
      </c>
      <c r="G12" s="97">
        <f t="shared" si="3"/>
        <v>20</v>
      </c>
      <c r="H12" s="97">
        <f t="shared" si="4"/>
        <v>20</v>
      </c>
      <c r="I12" s="97">
        <f t="shared" si="5"/>
        <v>50</v>
      </c>
    </row>
    <row r="13" spans="1:17" x14ac:dyDescent="0.3">
      <c r="B13" s="141"/>
      <c r="C13" s="217"/>
    </row>
    <row r="14" spans="1:17" ht="163.5" customHeight="1" x14ac:dyDescent="0.3">
      <c r="B14" s="141"/>
    </row>
    <row r="15" spans="1:17" ht="71.25" customHeight="1" x14ac:dyDescent="0.3">
      <c r="B15" s="218" t="str">
        <f ca="1">' '!A384</f>
        <v>Nr.</v>
      </c>
      <c r="C15" s="219"/>
      <c r="D15" s="220" t="str">
        <f ca="1">' '!A293</f>
        <v>Gewichtung</v>
      </c>
      <c r="E15" s="1095" t="s">
        <v>458</v>
      </c>
      <c r="F15" s="1095"/>
      <c r="G15" s="1095" t="s">
        <v>459</v>
      </c>
      <c r="H15" s="1095"/>
      <c r="I15" s="1095" t="s">
        <v>460</v>
      </c>
      <c r="J15" s="1095"/>
      <c r="K15" s="1095" t="s">
        <v>760</v>
      </c>
      <c r="L15" s="1095"/>
      <c r="M15" s="1095" t="s">
        <v>760</v>
      </c>
      <c r="N15" s="1095"/>
      <c r="O15" s="1095" t="s">
        <v>760</v>
      </c>
      <c r="P15" s="1096"/>
    </row>
    <row r="16" spans="1:17" s="147" customFormat="1" ht="15.6" x14ac:dyDescent="0.3">
      <c r="A16" s="97"/>
      <c r="B16" s="221"/>
      <c r="C16" s="222"/>
      <c r="D16" s="222"/>
      <c r="E16" s="222" t="str">
        <f ca="1">' '!A294</f>
        <v>Bewertung</v>
      </c>
      <c r="F16" s="223" t="str">
        <f ca="1">' '!A295</f>
        <v>Total</v>
      </c>
      <c r="G16" s="222" t="str">
        <f ca="1">E16</f>
        <v>Bewertung</v>
      </c>
      <c r="H16" s="223" t="str">
        <f ca="1">F16</f>
        <v>Total</v>
      </c>
      <c r="I16" s="222" t="str">
        <f ca="1">E16</f>
        <v>Bewertung</v>
      </c>
      <c r="J16" s="223" t="str">
        <f ca="1">F16</f>
        <v>Total</v>
      </c>
      <c r="K16" s="222" t="str">
        <f ca="1">E16</f>
        <v>Bewertung</v>
      </c>
      <c r="L16" s="223" t="str">
        <f ca="1">F16</f>
        <v>Total</v>
      </c>
      <c r="M16" s="222" t="str">
        <f ca="1">E16</f>
        <v>Bewertung</v>
      </c>
      <c r="N16" s="223" t="str">
        <f ca="1">F16</f>
        <v>Total</v>
      </c>
      <c r="O16" s="222" t="str">
        <f ca="1">E16</f>
        <v>Bewertung</v>
      </c>
      <c r="P16" s="224" t="str">
        <f ca="1">F16</f>
        <v>Total</v>
      </c>
    </row>
    <row r="17" spans="1:16" s="154" customFormat="1" ht="18" x14ac:dyDescent="0.3">
      <c r="A17" s="97"/>
      <c r="B17" s="225">
        <v>1</v>
      </c>
      <c r="C17" s="226" t="s">
        <v>408</v>
      </c>
      <c r="D17" s="227">
        <v>10</v>
      </c>
      <c r="E17" s="228">
        <v>10</v>
      </c>
      <c r="F17" s="229">
        <f>E17*D17</f>
        <v>100</v>
      </c>
      <c r="G17" s="228">
        <v>4</v>
      </c>
      <c r="H17" s="229">
        <f>D17*G17</f>
        <v>40</v>
      </c>
      <c r="I17" s="228">
        <v>4</v>
      </c>
      <c r="J17" s="229">
        <f>D17*I17</f>
        <v>40</v>
      </c>
      <c r="K17" s="228">
        <v>4</v>
      </c>
      <c r="L17" s="229">
        <f>D17*K17</f>
        <v>40</v>
      </c>
      <c r="M17" s="228">
        <v>4</v>
      </c>
      <c r="N17" s="229">
        <f>D17*M17</f>
        <v>40</v>
      </c>
      <c r="O17" s="228">
        <v>4</v>
      </c>
      <c r="P17" s="230">
        <f>D17*O17</f>
        <v>40</v>
      </c>
    </row>
    <row r="18" spans="1:16" s="154" customFormat="1" ht="18" x14ac:dyDescent="0.3">
      <c r="A18" s="97"/>
      <c r="B18" s="231">
        <v>2</v>
      </c>
      <c r="C18" s="226" t="s">
        <v>409</v>
      </c>
      <c r="D18" s="227">
        <v>5</v>
      </c>
      <c r="E18" s="228">
        <v>5</v>
      </c>
      <c r="F18" s="229">
        <f t="shared" ref="F18:F24" si="7">E18*D18</f>
        <v>25</v>
      </c>
      <c r="G18" s="228">
        <v>5</v>
      </c>
      <c r="H18" s="229">
        <f t="shared" ref="H18:H24" si="8">D18*G18</f>
        <v>25</v>
      </c>
      <c r="I18" s="228">
        <v>5</v>
      </c>
      <c r="J18" s="229">
        <f t="shared" ref="J18:J24" si="9">D18*I18</f>
        <v>25</v>
      </c>
      <c r="K18" s="228">
        <v>5</v>
      </c>
      <c r="L18" s="229">
        <f t="shared" ref="L18:L24" si="10">D18*K18</f>
        <v>25</v>
      </c>
      <c r="M18" s="228">
        <v>5</v>
      </c>
      <c r="N18" s="229">
        <f t="shared" ref="N18:N24" si="11">D18*M18</f>
        <v>25</v>
      </c>
      <c r="O18" s="228">
        <v>5</v>
      </c>
      <c r="P18" s="230">
        <f t="shared" ref="P18:P24" si="12">D18*O18</f>
        <v>25</v>
      </c>
    </row>
    <row r="19" spans="1:16" s="154" customFormat="1" ht="18" x14ac:dyDescent="0.3">
      <c r="A19" s="97"/>
      <c r="B19" s="232">
        <v>3</v>
      </c>
      <c r="C19" s="226" t="s">
        <v>410</v>
      </c>
      <c r="D19" s="227">
        <v>5</v>
      </c>
      <c r="E19" s="228">
        <v>5</v>
      </c>
      <c r="F19" s="229">
        <f t="shared" si="7"/>
        <v>25</v>
      </c>
      <c r="G19" s="228">
        <v>5</v>
      </c>
      <c r="H19" s="229">
        <f t="shared" si="8"/>
        <v>25</v>
      </c>
      <c r="I19" s="228">
        <v>5</v>
      </c>
      <c r="J19" s="229">
        <f t="shared" si="9"/>
        <v>25</v>
      </c>
      <c r="K19" s="228">
        <v>5</v>
      </c>
      <c r="L19" s="229">
        <f t="shared" si="10"/>
        <v>25</v>
      </c>
      <c r="M19" s="228">
        <v>5</v>
      </c>
      <c r="N19" s="229">
        <f t="shared" si="11"/>
        <v>25</v>
      </c>
      <c r="O19" s="228">
        <v>5</v>
      </c>
      <c r="P19" s="230">
        <f t="shared" si="12"/>
        <v>25</v>
      </c>
    </row>
    <row r="20" spans="1:16" s="154" customFormat="1" ht="18" x14ac:dyDescent="0.3">
      <c r="A20" s="97"/>
      <c r="B20" s="233">
        <v>4</v>
      </c>
      <c r="C20" s="226" t="s">
        <v>760</v>
      </c>
      <c r="D20" s="227">
        <v>9</v>
      </c>
      <c r="E20" s="228">
        <v>9</v>
      </c>
      <c r="F20" s="229">
        <f t="shared" si="7"/>
        <v>81</v>
      </c>
      <c r="G20" s="228">
        <v>9</v>
      </c>
      <c r="H20" s="229">
        <f t="shared" si="8"/>
        <v>81</v>
      </c>
      <c r="I20" s="228">
        <v>6</v>
      </c>
      <c r="J20" s="229">
        <f t="shared" si="9"/>
        <v>54</v>
      </c>
      <c r="K20" s="228">
        <v>4</v>
      </c>
      <c r="L20" s="229">
        <f t="shared" si="10"/>
        <v>36</v>
      </c>
      <c r="M20" s="228">
        <v>1</v>
      </c>
      <c r="N20" s="229">
        <f t="shared" si="11"/>
        <v>9</v>
      </c>
      <c r="O20" s="228">
        <v>2</v>
      </c>
      <c r="P20" s="230">
        <f t="shared" si="12"/>
        <v>18</v>
      </c>
    </row>
    <row r="21" spans="1:16" s="154" customFormat="1" ht="18" x14ac:dyDescent="0.3">
      <c r="A21" s="97"/>
      <c r="B21" s="234">
        <v>5</v>
      </c>
      <c r="C21" s="226" t="s">
        <v>760</v>
      </c>
      <c r="D21" s="227">
        <v>4</v>
      </c>
      <c r="E21" s="228">
        <v>4</v>
      </c>
      <c r="F21" s="229">
        <f t="shared" si="7"/>
        <v>16</v>
      </c>
      <c r="G21" s="228">
        <v>4</v>
      </c>
      <c r="H21" s="229">
        <f t="shared" si="8"/>
        <v>16</v>
      </c>
      <c r="I21" s="228">
        <v>4</v>
      </c>
      <c r="J21" s="229">
        <f t="shared" si="9"/>
        <v>16</v>
      </c>
      <c r="K21" s="228">
        <v>4</v>
      </c>
      <c r="L21" s="229">
        <f t="shared" si="10"/>
        <v>16</v>
      </c>
      <c r="M21" s="228">
        <v>4</v>
      </c>
      <c r="N21" s="229">
        <f t="shared" si="11"/>
        <v>16</v>
      </c>
      <c r="O21" s="228">
        <v>4</v>
      </c>
      <c r="P21" s="230">
        <f t="shared" si="12"/>
        <v>16</v>
      </c>
    </row>
    <row r="22" spans="1:16" s="154" customFormat="1" ht="18" x14ac:dyDescent="0.3">
      <c r="A22" s="97"/>
      <c r="B22" s="235">
        <v>6</v>
      </c>
      <c r="C22" s="226" t="s">
        <v>760</v>
      </c>
      <c r="D22" s="227">
        <v>5</v>
      </c>
      <c r="E22" s="228">
        <v>7</v>
      </c>
      <c r="F22" s="229">
        <f t="shared" si="7"/>
        <v>35</v>
      </c>
      <c r="G22" s="228">
        <v>6</v>
      </c>
      <c r="H22" s="229">
        <f t="shared" si="8"/>
        <v>30</v>
      </c>
      <c r="I22" s="228">
        <v>7</v>
      </c>
      <c r="J22" s="229">
        <f t="shared" si="9"/>
        <v>35</v>
      </c>
      <c r="K22" s="228">
        <v>6</v>
      </c>
      <c r="L22" s="229">
        <f t="shared" si="10"/>
        <v>30</v>
      </c>
      <c r="M22" s="228">
        <v>6</v>
      </c>
      <c r="N22" s="229">
        <f t="shared" si="11"/>
        <v>30</v>
      </c>
      <c r="O22" s="228">
        <v>6</v>
      </c>
      <c r="P22" s="230">
        <f t="shared" si="12"/>
        <v>30</v>
      </c>
    </row>
    <row r="23" spans="1:16" s="154" customFormat="1" ht="18" x14ac:dyDescent="0.3">
      <c r="A23" s="97"/>
      <c r="B23" s="236">
        <v>7</v>
      </c>
      <c r="C23" s="226" t="s">
        <v>760</v>
      </c>
      <c r="D23" s="227">
        <v>3</v>
      </c>
      <c r="E23" s="228">
        <v>3</v>
      </c>
      <c r="F23" s="229">
        <f t="shared" si="7"/>
        <v>9</v>
      </c>
      <c r="G23" s="228">
        <v>3</v>
      </c>
      <c r="H23" s="229">
        <f t="shared" si="8"/>
        <v>9</v>
      </c>
      <c r="I23" s="228">
        <v>3</v>
      </c>
      <c r="J23" s="229">
        <f t="shared" si="9"/>
        <v>9</v>
      </c>
      <c r="K23" s="228">
        <v>3</v>
      </c>
      <c r="L23" s="229">
        <f t="shared" si="10"/>
        <v>9</v>
      </c>
      <c r="M23" s="228">
        <v>3</v>
      </c>
      <c r="N23" s="229">
        <f t="shared" si="11"/>
        <v>9</v>
      </c>
      <c r="O23" s="228">
        <v>9</v>
      </c>
      <c r="P23" s="230">
        <f t="shared" si="12"/>
        <v>27</v>
      </c>
    </row>
    <row r="24" spans="1:16" s="154" customFormat="1" ht="18" x14ac:dyDescent="0.3">
      <c r="A24" s="97"/>
      <c r="B24" s="237">
        <v>8</v>
      </c>
      <c r="C24" s="238" t="s">
        <v>760</v>
      </c>
      <c r="D24" s="239">
        <v>5</v>
      </c>
      <c r="E24" s="240">
        <v>4</v>
      </c>
      <c r="F24" s="241">
        <f t="shared" si="7"/>
        <v>20</v>
      </c>
      <c r="G24" s="240">
        <v>4</v>
      </c>
      <c r="H24" s="241">
        <f t="shared" si="8"/>
        <v>20</v>
      </c>
      <c r="I24" s="240">
        <v>4</v>
      </c>
      <c r="J24" s="241">
        <f t="shared" si="9"/>
        <v>20</v>
      </c>
      <c r="K24" s="240">
        <v>4</v>
      </c>
      <c r="L24" s="241">
        <f t="shared" si="10"/>
        <v>20</v>
      </c>
      <c r="M24" s="240">
        <v>4</v>
      </c>
      <c r="N24" s="241">
        <f t="shared" si="11"/>
        <v>20</v>
      </c>
      <c r="O24" s="240">
        <v>10</v>
      </c>
      <c r="P24" s="242">
        <f t="shared" si="12"/>
        <v>50</v>
      </c>
    </row>
    <row r="25" spans="1:16" ht="18.75" customHeight="1" x14ac:dyDescent="0.3">
      <c r="B25" s="243"/>
      <c r="C25" s="244" t="str">
        <f ca="1">' '!A295</f>
        <v>Total</v>
      </c>
      <c r="D25" s="245"/>
      <c r="E25" s="246"/>
      <c r="F25" s="246">
        <f>SUM(F17:F24)</f>
        <v>311</v>
      </c>
      <c r="G25" s="246"/>
      <c r="H25" s="246">
        <f>SUM(H17:H24)</f>
        <v>246</v>
      </c>
      <c r="I25" s="246"/>
      <c r="J25" s="246">
        <f>SUM(J17:J24)</f>
        <v>224</v>
      </c>
      <c r="K25" s="246"/>
      <c r="L25" s="246">
        <f>SUM(L17:L24)</f>
        <v>201</v>
      </c>
      <c r="M25" s="246"/>
      <c r="N25" s="246">
        <f>SUM(N17:N24)</f>
        <v>174</v>
      </c>
      <c r="O25" s="246"/>
      <c r="P25" s="246">
        <f>SUM(P17:P24)</f>
        <v>231</v>
      </c>
    </row>
    <row r="26" spans="1:16" ht="18.75" customHeight="1" x14ac:dyDescent="0.3">
      <c r="B26" s="74" t="s">
        <v>2103</v>
      </c>
    </row>
    <row r="27" spans="1:16" ht="18.75" customHeight="1" x14ac:dyDescent="0.3"/>
  </sheetData>
  <sheetProtection sheet="1" objects="1" scenarios="1" formatCells="0" formatColumns="0" formatRows="0" insertHyperlinks="0" selectLockedCells="1" sort="0" autoFilter="0"/>
  <mergeCells count="6">
    <mergeCell ref="O15:P15"/>
    <mergeCell ref="E15:F15"/>
    <mergeCell ref="G15:H15"/>
    <mergeCell ref="I15:J15"/>
    <mergeCell ref="K15:L15"/>
    <mergeCell ref="M15:N15"/>
  </mergeCells>
  <conditionalFormatting sqref="B25:C25">
    <cfRule type="expression" dxfId="29" priority="2">
      <formula>MOD(ROW(#REF!),2)=0</formula>
    </cfRule>
    <cfRule type="expression" dxfId="28" priority="3">
      <formula>MOD(ROW(#REF!),2)=0</formula>
    </cfRule>
  </conditionalFormatting>
  <conditionalFormatting sqref="C17:P24">
    <cfRule type="expression" dxfId="27" priority="1">
      <formula>MOD(ROW(A2),2)=0</formula>
    </cfRule>
    <cfRule type="expression" dxfId="26" priority="4">
      <formula>MOD(ROW(A1),2)=0</formula>
    </cfRule>
  </conditionalFormatting>
  <conditionalFormatting sqref="E17:E24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17:G24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I17:I24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K17:K24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M17:M24">
    <cfRule type="iconSet" priority="9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O17:O24">
    <cfRule type="iconSet" priority="10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3">
    <dataValidation type="list" allowBlank="1" showInputMessage="1" showErrorMessage="1" sqref="D17:E24 G17:G24 I17:I24 K17:K24 M17:M24 O17:O24" xr:uid="{00000000-0002-0000-1A00-000000000000}">
      <formula1>"1,2,3,4,5,6,7,8,9,10"</formula1>
    </dataValidation>
    <dataValidation showInputMessage="1" showErrorMessage="1" sqref="G26:G27" xr:uid="{00000000-0002-0000-1A00-000001000000}"/>
    <dataValidation type="list" showInputMessage="1" showErrorMessage="1" sqref="J27" xr:uid="{00000000-0002-0000-1A00-000002000000}">
      <formula1>"1,2,3"</formula1>
    </dataValidation>
  </dataValidations>
  <hyperlinks>
    <hyperlink ref="A11" location="x!A192" display="x!A192" xr:uid="{00000000-0004-0000-1A00-000000000000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4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Tabelle31">
    <tabColor theme="0" tint="-0.34998626667073579"/>
  </sheetPr>
  <dimension ref="A1:K42"/>
  <sheetViews>
    <sheetView showGridLines="0" zoomScaleNormal="100" workbookViewId="0">
      <pane xSplit="2" ySplit="4" topLeftCell="C5" activePane="bottomRight" state="frozen"/>
      <selection activeCell="N13" sqref="N13"/>
      <selection pane="topRight" activeCell="N13" sqref="N13"/>
      <selection pane="bottomLeft" activeCell="N13" sqref="N13"/>
      <selection pane="bottomRight" activeCell="G4" sqref="G4"/>
    </sheetView>
  </sheetViews>
  <sheetFormatPr baseColWidth="10" defaultColWidth="28.44140625" defaultRowHeight="14.4" x14ac:dyDescent="0.3"/>
  <cols>
    <col min="1" max="1" width="7" style="110" customWidth="1"/>
    <col min="2" max="2" width="13.6640625" style="200" customWidth="1"/>
    <col min="3" max="3" width="32.33203125" style="200" customWidth="1"/>
    <col min="4" max="4" width="9.33203125" style="200" customWidth="1"/>
    <col min="5" max="5" width="11" style="200" customWidth="1"/>
    <col min="6" max="6" width="8.109375" style="200" bestFit="1" customWidth="1"/>
    <col min="7" max="11" width="14.33203125" style="214" customWidth="1"/>
    <col min="12" max="16384" width="28.44140625" style="200"/>
  </cols>
  <sheetData>
    <row r="1" spans="1:11" s="109" customFormat="1" ht="45" customHeight="1" x14ac:dyDescent="0.3">
      <c r="A1" s="166"/>
      <c r="B1" s="103" t="str">
        <f ca="1">' '!A302</f>
        <v>V A R I A N T E N B E W E R T U N G</v>
      </c>
      <c r="C1" s="166"/>
      <c r="D1" s="103"/>
      <c r="E1" s="103"/>
      <c r="F1" s="103"/>
      <c r="G1" s="103"/>
      <c r="H1" s="103"/>
      <c r="I1" s="103"/>
      <c r="J1" s="103"/>
      <c r="K1" s="122"/>
    </row>
    <row r="2" spans="1:11" s="110" customFormat="1" ht="22.5" customHeight="1" x14ac:dyDescent="0.3">
      <c r="C2" s="190"/>
      <c r="I2" s="191"/>
    </row>
    <row r="3" spans="1:11" s="197" customFormat="1" ht="30.75" customHeight="1" thickBot="1" x14ac:dyDescent="0.35">
      <c r="A3" s="110"/>
      <c r="B3" s="192" t="str">
        <f ca="1">' '!A303</f>
        <v>Bereich</v>
      </c>
      <c r="C3" s="193" t="str">
        <f ca="1">' '!A304</f>
        <v>Indikator</v>
      </c>
      <c r="D3" s="194" t="str">
        <f ca="1">' '!A305</f>
        <v>Einheit</v>
      </c>
      <c r="E3" s="194" t="str">
        <f ca="1">' '!A306</f>
        <v>Aktueller Wert</v>
      </c>
      <c r="F3" s="195"/>
      <c r="G3" s="196"/>
      <c r="H3" s="196"/>
      <c r="I3" s="196" t="str">
        <f ca="1">' '!A307</f>
        <v>Verbesserung / Verschlechterung</v>
      </c>
      <c r="J3" s="196"/>
      <c r="K3" s="196"/>
    </row>
    <row r="4" spans="1:11" x14ac:dyDescent="0.3">
      <c r="B4" s="192"/>
      <c r="C4" s="193"/>
      <c r="D4" s="194"/>
      <c r="E4" s="194"/>
      <c r="F4" s="195"/>
      <c r="G4" s="198" t="s">
        <v>1824</v>
      </c>
      <c r="H4" s="198" t="s">
        <v>1825</v>
      </c>
      <c r="I4" s="198" t="s">
        <v>1826</v>
      </c>
      <c r="J4" s="198" t="s">
        <v>760</v>
      </c>
      <c r="K4" s="199" t="s">
        <v>760</v>
      </c>
    </row>
    <row r="5" spans="1:11" s="204" customFormat="1" ht="17.25" customHeight="1" x14ac:dyDescent="0.3">
      <c r="A5" s="110"/>
      <c r="B5" s="1111" t="str">
        <f ca="1">' '!A309</f>
        <v>Finanzen</v>
      </c>
      <c r="C5" s="1117" t="s">
        <v>42</v>
      </c>
      <c r="D5" s="1118" t="s">
        <v>467</v>
      </c>
      <c r="E5" s="1119">
        <v>200</v>
      </c>
      <c r="F5" s="201" t="str">
        <f ca="1">' '!A308</f>
        <v>absolut</v>
      </c>
      <c r="G5" s="202">
        <v>20</v>
      </c>
      <c r="H5" s="202">
        <v>-50</v>
      </c>
      <c r="I5" s="202">
        <v>15</v>
      </c>
      <c r="J5" s="202">
        <v>17</v>
      </c>
      <c r="K5" s="203">
        <v>19</v>
      </c>
    </row>
    <row r="6" spans="1:11" s="204" customFormat="1" ht="17.25" customHeight="1" x14ac:dyDescent="0.3">
      <c r="A6" s="110"/>
      <c r="B6" s="1111"/>
      <c r="C6" s="1097"/>
      <c r="D6" s="1098"/>
      <c r="E6" s="1099"/>
      <c r="F6" s="205" t="s">
        <v>462</v>
      </c>
      <c r="G6" s="206">
        <f>IF(AND(G5&lt;&gt;"",E5&lt;&gt;""),G5/$E5,"")</f>
        <v>0.1</v>
      </c>
      <c r="H6" s="206">
        <f>IF(AND(H5&lt;&gt;"",E5&lt;&gt;""),H5/$E5,"")</f>
        <v>-0.25</v>
      </c>
      <c r="I6" s="206">
        <f>IF(AND(I5&lt;&gt;"",E5&lt;&gt;""),I5/$E5,"")</f>
        <v>7.4999999999999997E-2</v>
      </c>
      <c r="J6" s="206">
        <f>IF(AND(J5&lt;&gt;"",E5&lt;&gt;""),J5/$E5,"")</f>
        <v>8.5000000000000006E-2</v>
      </c>
      <c r="K6" s="207">
        <f>IF(AND(K5&lt;&gt;"",E5&lt;&gt;""),K5/$E5,"")</f>
        <v>9.5000000000000001E-2</v>
      </c>
    </row>
    <row r="7" spans="1:11" s="204" customFormat="1" ht="17.25" customHeight="1" x14ac:dyDescent="0.3">
      <c r="A7" s="110"/>
      <c r="B7" s="1111"/>
      <c r="C7" s="1097" t="s">
        <v>463</v>
      </c>
      <c r="D7" s="1098" t="s">
        <v>462</v>
      </c>
      <c r="E7" s="1119">
        <v>0.53</v>
      </c>
      <c r="F7" s="208" t="str">
        <f ca="1">$F$5</f>
        <v>absolut</v>
      </c>
      <c r="G7" s="209">
        <v>0.01</v>
      </c>
      <c r="H7" s="209">
        <v>0.03</v>
      </c>
      <c r="I7" s="209">
        <v>0.02</v>
      </c>
      <c r="J7" s="209">
        <v>0.05</v>
      </c>
      <c r="K7" s="210">
        <v>-0.02</v>
      </c>
    </row>
    <row r="8" spans="1:11" s="204" customFormat="1" ht="17.25" customHeight="1" x14ac:dyDescent="0.3">
      <c r="A8" s="110"/>
      <c r="B8" s="1111"/>
      <c r="C8" s="1097"/>
      <c r="D8" s="1098"/>
      <c r="E8" s="1099"/>
      <c r="F8" s="205" t="s">
        <v>462</v>
      </c>
      <c r="G8" s="206">
        <f>IF(AND(G7&lt;&gt;"",E7&lt;&gt;""),G7/$E7,"")</f>
        <v>1.8867924528301886E-2</v>
      </c>
      <c r="H8" s="206">
        <f>IF(AND(H7&lt;&gt;"",E7&lt;&gt;""),H7/$E7,"")</f>
        <v>5.6603773584905655E-2</v>
      </c>
      <c r="I8" s="206">
        <f>IF(AND(I7&lt;&gt;"",E7&lt;&gt;""),I7/$E7,"")</f>
        <v>3.7735849056603772E-2</v>
      </c>
      <c r="J8" s="206">
        <f>IF(AND(J7&lt;&gt;"",E7&lt;&gt;""),J7/$E7,"")</f>
        <v>9.4339622641509441E-2</v>
      </c>
      <c r="K8" s="207">
        <f>IF(AND(K7&lt;&gt;"",E7&lt;&gt;""),K7/$E7,"")</f>
        <v>-3.7735849056603772E-2</v>
      </c>
    </row>
    <row r="9" spans="1:11" s="204" customFormat="1" ht="17.25" customHeight="1" x14ac:dyDescent="0.3">
      <c r="A9" s="110"/>
      <c r="B9" s="1111"/>
      <c r="C9" s="1097" t="s">
        <v>466</v>
      </c>
      <c r="D9" s="1098" t="s">
        <v>467</v>
      </c>
      <c r="E9" s="1119">
        <v>57</v>
      </c>
      <c r="F9" s="208" t="str">
        <f ca="1">$F$5</f>
        <v>absolut</v>
      </c>
      <c r="G9" s="209">
        <v>20</v>
      </c>
      <c r="H9" s="209">
        <v>300</v>
      </c>
      <c r="I9" s="209">
        <v>25</v>
      </c>
      <c r="J9" s="209">
        <v>30</v>
      </c>
      <c r="K9" s="210">
        <v>50</v>
      </c>
    </row>
    <row r="10" spans="1:11" s="204" customFormat="1" ht="17.25" customHeight="1" x14ac:dyDescent="0.3">
      <c r="A10" s="110"/>
      <c r="B10" s="1111"/>
      <c r="C10" s="1097"/>
      <c r="D10" s="1098"/>
      <c r="E10" s="1099"/>
      <c r="F10" s="205" t="s">
        <v>462</v>
      </c>
      <c r="G10" s="206">
        <f>IF(AND(G9&lt;&gt;"",E9&lt;&gt;""),G9/$E9,"")</f>
        <v>0.35087719298245612</v>
      </c>
      <c r="H10" s="206">
        <f>IF(AND(H9&lt;&gt;"",E9&lt;&gt;""),H9/$E9,"")</f>
        <v>5.2631578947368425</v>
      </c>
      <c r="I10" s="206">
        <f>IF(AND(I9&lt;&gt;"",E9&lt;&gt;""),I9/$E9,"")</f>
        <v>0.43859649122807015</v>
      </c>
      <c r="J10" s="206">
        <f>IF(AND(J9&lt;&gt;"",E9&lt;&gt;""),J9/$E9,"")</f>
        <v>0.52631578947368418</v>
      </c>
      <c r="K10" s="207">
        <f>IF(AND(K9&lt;&gt;"",E9&lt;&gt;""),K9/$E9,"")</f>
        <v>0.8771929824561403</v>
      </c>
    </row>
    <row r="11" spans="1:11" s="204" customFormat="1" ht="17.25" customHeight="1" x14ac:dyDescent="0.3">
      <c r="A11" s="110"/>
      <c r="B11" s="1111"/>
      <c r="C11" s="1097" t="s">
        <v>758</v>
      </c>
      <c r="D11" s="1098" t="s">
        <v>467</v>
      </c>
      <c r="E11" s="1108"/>
      <c r="F11" s="208" t="str">
        <f ca="1">$F$5</f>
        <v>absolut</v>
      </c>
      <c r="G11" s="209">
        <v>1</v>
      </c>
      <c r="H11" s="209">
        <v>2</v>
      </c>
      <c r="I11" s="209">
        <v>10</v>
      </c>
      <c r="J11" s="209">
        <v>0.5</v>
      </c>
      <c r="K11" s="210">
        <v>0.3</v>
      </c>
    </row>
    <row r="12" spans="1:11" s="204" customFormat="1" ht="17.25" customHeight="1" x14ac:dyDescent="0.3">
      <c r="A12" s="110"/>
      <c r="B12" s="1112"/>
      <c r="C12" s="1106"/>
      <c r="D12" s="1107"/>
      <c r="E12" s="1109"/>
      <c r="F12" s="211" t="s">
        <v>462</v>
      </c>
      <c r="G12" s="212" t="str">
        <f>IF(AND(G11&lt;&gt;"",E11&lt;&gt;""),G11/$E11,"")</f>
        <v/>
      </c>
      <c r="H12" s="212" t="str">
        <f>IF(AND(H11&lt;&gt;"",E11&lt;&gt;""),H11/$E11,"")</f>
        <v/>
      </c>
      <c r="I12" s="212" t="str">
        <f>IF(AND(I11&lt;&gt;"",E11&lt;&gt;""),I11/$E11,"")</f>
        <v/>
      </c>
      <c r="J12" s="212" t="str">
        <f>IF(AND(J11&lt;&gt;"",E11&lt;&gt;""),J11/$E11,"")</f>
        <v/>
      </c>
      <c r="K12" s="213" t="str">
        <f>IF(AND(K11&lt;&gt;"",E11&lt;&gt;""),K11/$E11,"")</f>
        <v/>
      </c>
    </row>
    <row r="13" spans="1:11" s="204" customFormat="1" ht="17.25" customHeight="1" x14ac:dyDescent="0.3">
      <c r="A13" s="110"/>
      <c r="B13" s="1110" t="str">
        <f ca="1">' '!A310</f>
        <v>Kunden</v>
      </c>
      <c r="C13" s="1097" t="s">
        <v>464</v>
      </c>
      <c r="D13" s="1098" t="s">
        <v>465</v>
      </c>
      <c r="E13" s="1099">
        <v>1270</v>
      </c>
      <c r="F13" s="201" t="str">
        <f ca="1">$F$5</f>
        <v>absolut</v>
      </c>
      <c r="G13" s="202"/>
      <c r="H13" s="202"/>
      <c r="I13" s="202"/>
      <c r="J13" s="202"/>
      <c r="K13" s="203"/>
    </row>
    <row r="14" spans="1:11" s="204" customFormat="1" ht="17.25" customHeight="1" x14ac:dyDescent="0.3">
      <c r="A14" s="110"/>
      <c r="B14" s="1111"/>
      <c r="C14" s="1097"/>
      <c r="D14" s="1098"/>
      <c r="E14" s="1099"/>
      <c r="F14" s="205" t="s">
        <v>462</v>
      </c>
      <c r="G14" s="206" t="str">
        <f>IF(AND(G13&lt;&gt;"",E13&lt;&gt;""),G13/$E13,"")</f>
        <v/>
      </c>
      <c r="H14" s="206" t="str">
        <f>IF(AND(H13&lt;&gt;"",E13&lt;&gt;""),H13/$E13,"")</f>
        <v/>
      </c>
      <c r="I14" s="206" t="str">
        <f>IF(AND(I13&lt;&gt;"",E13&lt;&gt;""),I13/$E13,"")</f>
        <v/>
      </c>
      <c r="J14" s="206" t="str">
        <f>IF(AND(J13&lt;&gt;"",E13&lt;&gt;""),J13/$E13,"")</f>
        <v/>
      </c>
      <c r="K14" s="207" t="str">
        <f>IF(AND(K13&lt;&gt;"",E13&lt;&gt;""),K13/$E13,"")</f>
        <v/>
      </c>
    </row>
    <row r="15" spans="1:11" s="204" customFormat="1" ht="17.25" customHeight="1" x14ac:dyDescent="0.3">
      <c r="A15" s="110"/>
      <c r="B15" s="1111"/>
      <c r="C15" s="1097" t="s">
        <v>452</v>
      </c>
      <c r="D15" s="1098" t="s">
        <v>759</v>
      </c>
      <c r="E15" s="1119">
        <v>5</v>
      </c>
      <c r="F15" s="208" t="str">
        <f ca="1">$F$5</f>
        <v>absolut</v>
      </c>
      <c r="G15" s="209"/>
      <c r="H15" s="209"/>
      <c r="I15" s="209"/>
      <c r="J15" s="209"/>
      <c r="K15" s="210"/>
    </row>
    <row r="16" spans="1:11" s="204" customFormat="1" ht="17.25" customHeight="1" x14ac:dyDescent="0.3">
      <c r="A16" s="110"/>
      <c r="B16" s="1111"/>
      <c r="C16" s="1097"/>
      <c r="D16" s="1098"/>
      <c r="E16" s="1099"/>
      <c r="F16" s="205" t="s">
        <v>462</v>
      </c>
      <c r="G16" s="206" t="str">
        <f>IF(AND(G15&lt;&gt;"",E15&lt;&gt;""),G15/$E15,"")</f>
        <v/>
      </c>
      <c r="H16" s="206" t="str">
        <f>IF(AND(H15&lt;&gt;"",E15&lt;&gt;""),H15/$E15,"")</f>
        <v/>
      </c>
      <c r="I16" s="206" t="str">
        <f>IF(AND(I15&lt;&gt;"",E15&lt;&gt;""),I15/$E15,"")</f>
        <v/>
      </c>
      <c r="J16" s="206" t="str">
        <f>IF(AND(J15&lt;&gt;"",E15&lt;&gt;""),J15/$E15,"")</f>
        <v/>
      </c>
      <c r="K16" s="207" t="str">
        <f>IF(AND(K15&lt;&gt;"",E15&lt;&gt;""),K15/$E15,"")</f>
        <v/>
      </c>
    </row>
    <row r="17" spans="1:11" s="204" customFormat="1" ht="17.25" customHeight="1" x14ac:dyDescent="0.3">
      <c r="A17" s="110"/>
      <c r="B17" s="1111"/>
      <c r="C17" s="1097"/>
      <c r="D17" s="1098"/>
      <c r="E17" s="1099"/>
      <c r="F17" s="208" t="str">
        <f ca="1">$F$5</f>
        <v>absolut</v>
      </c>
      <c r="G17" s="209"/>
      <c r="H17" s="209"/>
      <c r="I17" s="209"/>
      <c r="J17" s="209"/>
      <c r="K17" s="210"/>
    </row>
    <row r="18" spans="1:11" s="204" customFormat="1" ht="17.25" customHeight="1" x14ac:dyDescent="0.3">
      <c r="A18" s="110"/>
      <c r="B18" s="1111"/>
      <c r="C18" s="1097"/>
      <c r="D18" s="1098"/>
      <c r="E18" s="1099"/>
      <c r="F18" s="205" t="s">
        <v>462</v>
      </c>
      <c r="G18" s="206" t="str">
        <f>IF(AND(G17&lt;&gt;"",E17&lt;&gt;""),G17/$E17,"")</f>
        <v/>
      </c>
      <c r="H18" s="206" t="str">
        <f>IF(AND(H17&lt;&gt;"",E17&lt;&gt;""),H17/$E17,"")</f>
        <v/>
      </c>
      <c r="I18" s="206" t="str">
        <f>IF(AND(I17&lt;&gt;"",E17&lt;&gt;""),I17/$E17,"")</f>
        <v/>
      </c>
      <c r="J18" s="206" t="str">
        <f>IF(AND(J17&lt;&gt;"",E17&lt;&gt;""),J17/$E17,"")</f>
        <v/>
      </c>
      <c r="K18" s="207" t="str">
        <f>IF(AND(K17&lt;&gt;"",E17&lt;&gt;""),K17/$E17,"")</f>
        <v/>
      </c>
    </row>
    <row r="19" spans="1:11" s="204" customFormat="1" ht="17.25" customHeight="1" x14ac:dyDescent="0.3">
      <c r="A19" s="110"/>
      <c r="B19" s="1111"/>
      <c r="C19" s="1097"/>
      <c r="D19" s="1098"/>
      <c r="E19" s="1108"/>
      <c r="F19" s="208" t="str">
        <f ca="1">$F$5</f>
        <v>absolut</v>
      </c>
      <c r="G19" s="209"/>
      <c r="H19" s="209"/>
      <c r="I19" s="209"/>
      <c r="J19" s="209"/>
      <c r="K19" s="210"/>
    </row>
    <row r="20" spans="1:11" s="204" customFormat="1" ht="17.25" customHeight="1" x14ac:dyDescent="0.3">
      <c r="A20" s="110"/>
      <c r="B20" s="1112"/>
      <c r="C20" s="1106"/>
      <c r="D20" s="1107"/>
      <c r="E20" s="1109"/>
      <c r="F20" s="211" t="s">
        <v>462</v>
      </c>
      <c r="G20" s="212" t="str">
        <f>IF(AND(G19&lt;&gt;"",E19&lt;&gt;""),G19/$E19,"")</f>
        <v/>
      </c>
      <c r="H20" s="212" t="str">
        <f>IF(AND(H19&lt;&gt;"",E19&lt;&gt;""),H19/$E19,"")</f>
        <v/>
      </c>
      <c r="I20" s="212" t="str">
        <f>IF(AND(I19&lt;&gt;"",E19&lt;&gt;""),I19/$E19,"")</f>
        <v/>
      </c>
      <c r="J20" s="212" t="str">
        <f>IF(AND(J19&lt;&gt;"",E19&lt;&gt;""),J19/$E19,"")</f>
        <v/>
      </c>
      <c r="K20" s="213" t="str">
        <f>IF(AND(K19&lt;&gt;"",E19&lt;&gt;""),K19/$E19,"")</f>
        <v/>
      </c>
    </row>
    <row r="21" spans="1:11" s="204" customFormat="1" ht="17.25" customHeight="1" x14ac:dyDescent="0.3">
      <c r="A21" s="110"/>
      <c r="B21" s="1110" t="s">
        <v>760</v>
      </c>
      <c r="C21" s="1113"/>
      <c r="D21" s="1114"/>
      <c r="E21" s="1115"/>
      <c r="F21" s="201" t="str">
        <f ca="1">$F$5</f>
        <v>absolut</v>
      </c>
      <c r="G21" s="202"/>
      <c r="H21" s="202"/>
      <c r="I21" s="202"/>
      <c r="J21" s="202"/>
      <c r="K21" s="203"/>
    </row>
    <row r="22" spans="1:11" s="204" customFormat="1" ht="17.25" customHeight="1" x14ac:dyDescent="0.3">
      <c r="A22" s="110"/>
      <c r="B22" s="1111"/>
      <c r="C22" s="1097"/>
      <c r="D22" s="1098"/>
      <c r="E22" s="1099"/>
      <c r="F22" s="205" t="s">
        <v>462</v>
      </c>
      <c r="G22" s="206" t="str">
        <f>IF(AND(G21&lt;&gt;"",E21&lt;&gt;""),G21/$E21,"")</f>
        <v/>
      </c>
      <c r="H22" s="206" t="str">
        <f>IF(AND(H21&lt;&gt;"",E21&lt;&gt;""),H21/$E21,"")</f>
        <v/>
      </c>
      <c r="I22" s="206" t="str">
        <f>IF(AND(I21&lt;&gt;"",E21&lt;&gt;""),I21/$E21,"")</f>
        <v/>
      </c>
      <c r="J22" s="206" t="str">
        <f>IF(AND(J21&lt;&gt;"",E21&lt;&gt;""),J21/$E21,"")</f>
        <v/>
      </c>
      <c r="K22" s="207" t="str">
        <f>IF(AND(K21&lt;&gt;"",E21&lt;&gt;""),K21/$E21,"")</f>
        <v/>
      </c>
    </row>
    <row r="23" spans="1:11" s="204" customFormat="1" ht="17.25" customHeight="1" x14ac:dyDescent="0.3">
      <c r="A23" s="110"/>
      <c r="B23" s="1111"/>
      <c r="C23" s="1097"/>
      <c r="D23" s="1098"/>
      <c r="E23" s="1116"/>
      <c r="F23" s="208" t="str">
        <f ca="1">$F$5</f>
        <v>absolut</v>
      </c>
      <c r="G23" s="209"/>
      <c r="H23" s="209"/>
      <c r="I23" s="209"/>
      <c r="J23" s="209"/>
      <c r="K23" s="210"/>
    </row>
    <row r="24" spans="1:11" s="204" customFormat="1" ht="17.25" customHeight="1" x14ac:dyDescent="0.3">
      <c r="A24" s="110"/>
      <c r="B24" s="1111"/>
      <c r="C24" s="1097"/>
      <c r="D24" s="1098"/>
      <c r="E24" s="1099"/>
      <c r="F24" s="205" t="s">
        <v>462</v>
      </c>
      <c r="G24" s="206" t="str">
        <f>IF(AND(G23&lt;&gt;"",E23&lt;&gt;""),G23/$E23,"")</f>
        <v/>
      </c>
      <c r="H24" s="206" t="str">
        <f>IF(AND(H23&lt;&gt;"",E23&lt;&gt;""),H23/$E23,"")</f>
        <v/>
      </c>
      <c r="I24" s="206" t="str">
        <f>IF(AND(I23&lt;&gt;"",E23&lt;&gt;""),I23/$E23,"")</f>
        <v/>
      </c>
      <c r="J24" s="206" t="str">
        <f>IF(AND(J23&lt;&gt;"",E23&lt;&gt;""),J23/$E23,"")</f>
        <v/>
      </c>
      <c r="K24" s="207" t="str">
        <f>IF(AND(K23&lt;&gt;"",E23&lt;&gt;""),K23/$E23,"")</f>
        <v/>
      </c>
    </row>
    <row r="25" spans="1:11" s="204" customFormat="1" ht="17.25" customHeight="1" x14ac:dyDescent="0.3">
      <c r="A25" s="110"/>
      <c r="B25" s="1111"/>
      <c r="C25" s="1097"/>
      <c r="D25" s="1098"/>
      <c r="E25" s="1099"/>
      <c r="F25" s="208" t="str">
        <f ca="1">$F$5</f>
        <v>absolut</v>
      </c>
      <c r="G25" s="209"/>
      <c r="H25" s="209"/>
      <c r="I25" s="209"/>
      <c r="J25" s="209"/>
      <c r="K25" s="210"/>
    </row>
    <row r="26" spans="1:11" s="204" customFormat="1" ht="17.25" customHeight="1" x14ac:dyDescent="0.3">
      <c r="A26" s="110"/>
      <c r="B26" s="1111"/>
      <c r="C26" s="1097"/>
      <c r="D26" s="1098"/>
      <c r="E26" s="1099"/>
      <c r="F26" s="205" t="s">
        <v>462</v>
      </c>
      <c r="G26" s="206" t="str">
        <f>IF(AND(G25&lt;&gt;"",E25&lt;&gt;""),G25/$E25,"")</f>
        <v/>
      </c>
      <c r="H26" s="206" t="str">
        <f>IF(AND(H25&lt;&gt;"",E25&lt;&gt;""),H25/$E25,"")</f>
        <v/>
      </c>
      <c r="I26" s="206" t="str">
        <f>IF(AND(I25&lt;&gt;"",E25&lt;&gt;""),I25/$E25,"")</f>
        <v/>
      </c>
      <c r="J26" s="206" t="str">
        <f>IF(AND(J25&lt;&gt;"",E25&lt;&gt;""),J25/$E25,"")</f>
        <v/>
      </c>
      <c r="K26" s="207" t="str">
        <f>IF(AND(K25&lt;&gt;"",E25&lt;&gt;""),K25/$E25,"")</f>
        <v/>
      </c>
    </row>
    <row r="27" spans="1:11" s="204" customFormat="1" ht="17.25" customHeight="1" x14ac:dyDescent="0.3">
      <c r="A27" s="110"/>
      <c r="B27" s="1111"/>
      <c r="C27" s="1097"/>
      <c r="D27" s="1098"/>
      <c r="E27" s="1108"/>
      <c r="F27" s="208" t="str">
        <f ca="1">$F$5</f>
        <v>absolut</v>
      </c>
      <c r="G27" s="209"/>
      <c r="H27" s="209"/>
      <c r="I27" s="209"/>
      <c r="J27" s="209"/>
      <c r="K27" s="210"/>
    </row>
    <row r="28" spans="1:11" s="204" customFormat="1" ht="17.25" customHeight="1" x14ac:dyDescent="0.3">
      <c r="A28" s="110"/>
      <c r="B28" s="1112"/>
      <c r="C28" s="1106"/>
      <c r="D28" s="1107"/>
      <c r="E28" s="1109"/>
      <c r="F28" s="211" t="s">
        <v>462</v>
      </c>
      <c r="G28" s="212" t="str">
        <f>IF(AND(G27&lt;&gt;"",E27&lt;&gt;""),G27/$E27,"")</f>
        <v/>
      </c>
      <c r="H28" s="212" t="str">
        <f>IF(AND(H27&lt;&gt;"",E27&lt;&gt;""),H27/$E27,"")</f>
        <v/>
      </c>
      <c r="I28" s="212" t="str">
        <f>IF(AND(I27&lt;&gt;"",E27&lt;&gt;""),I27/$E27,"")</f>
        <v/>
      </c>
      <c r="J28" s="212" t="str">
        <f>IF(AND(J27&lt;&gt;"",E27&lt;&gt;""),J27/$E27,"")</f>
        <v/>
      </c>
      <c r="K28" s="213" t="str">
        <f>IF(AND(K27&lt;&gt;"",E27&lt;&gt;""),K27/$E27,"")</f>
        <v/>
      </c>
    </row>
    <row r="29" spans="1:11" s="204" customFormat="1" ht="17.25" customHeight="1" x14ac:dyDescent="0.3">
      <c r="A29" s="110"/>
      <c r="B29" s="1110" t="s">
        <v>760</v>
      </c>
      <c r="C29" s="1113"/>
      <c r="D29" s="1114"/>
      <c r="E29" s="1115"/>
      <c r="F29" s="201" t="str">
        <f ca="1">$F$5</f>
        <v>absolut</v>
      </c>
      <c r="G29" s="202"/>
      <c r="H29" s="202"/>
      <c r="I29" s="202"/>
      <c r="J29" s="202"/>
      <c r="K29" s="203"/>
    </row>
    <row r="30" spans="1:11" s="204" customFormat="1" ht="17.25" customHeight="1" x14ac:dyDescent="0.3">
      <c r="A30" s="110"/>
      <c r="B30" s="1111"/>
      <c r="C30" s="1097"/>
      <c r="D30" s="1098"/>
      <c r="E30" s="1099"/>
      <c r="F30" s="205" t="s">
        <v>462</v>
      </c>
      <c r="G30" s="206" t="str">
        <f>IF(AND(G29&lt;&gt;"",E29&lt;&gt;""),G29/$E29,"")</f>
        <v/>
      </c>
      <c r="H30" s="206" t="str">
        <f>IF(AND(H29&lt;&gt;"",E29&lt;&gt;""),H29/$E29,"")</f>
        <v/>
      </c>
      <c r="I30" s="206" t="str">
        <f>IF(AND(I29&lt;&gt;"",E29&lt;&gt;""),I29/$E29,"")</f>
        <v/>
      </c>
      <c r="J30" s="206" t="str">
        <f>IF(AND(J29&lt;&gt;"",E29&lt;&gt;""),J29/$E29,"")</f>
        <v/>
      </c>
      <c r="K30" s="207" t="str">
        <f>IF(AND(K29&lt;&gt;"",E29&lt;&gt;""),K29/$E29,"")</f>
        <v/>
      </c>
    </row>
    <row r="31" spans="1:11" s="204" customFormat="1" ht="17.25" customHeight="1" x14ac:dyDescent="0.3">
      <c r="A31" s="110"/>
      <c r="B31" s="1111"/>
      <c r="C31" s="1097"/>
      <c r="D31" s="1098"/>
      <c r="E31" s="1116"/>
      <c r="F31" s="208" t="str">
        <f ca="1">$F$5</f>
        <v>absolut</v>
      </c>
      <c r="G31" s="209"/>
      <c r="H31" s="209"/>
      <c r="I31" s="209"/>
      <c r="J31" s="209"/>
      <c r="K31" s="210"/>
    </row>
    <row r="32" spans="1:11" s="204" customFormat="1" ht="17.25" customHeight="1" x14ac:dyDescent="0.3">
      <c r="A32" s="110"/>
      <c r="B32" s="1111"/>
      <c r="C32" s="1097"/>
      <c r="D32" s="1098"/>
      <c r="E32" s="1099"/>
      <c r="F32" s="205" t="s">
        <v>462</v>
      </c>
      <c r="G32" s="206" t="str">
        <f>IF(AND(G31&lt;&gt;"",E31&lt;&gt;""),G31/$E31,"")</f>
        <v/>
      </c>
      <c r="H32" s="206" t="str">
        <f>IF(AND(H31&lt;&gt;"",E31&lt;&gt;""),H31/$E31,"")</f>
        <v/>
      </c>
      <c r="I32" s="206" t="str">
        <f>IF(AND(I31&lt;&gt;"",E31&lt;&gt;""),I31/$E31,"")</f>
        <v/>
      </c>
      <c r="J32" s="206" t="str">
        <f>IF(AND(J31&lt;&gt;"",E31&lt;&gt;""),J31/$E31,"")</f>
        <v/>
      </c>
      <c r="K32" s="207" t="str">
        <f>IF(AND(K31&lt;&gt;"",E31&lt;&gt;""),K31/$E31,"")</f>
        <v/>
      </c>
    </row>
    <row r="33" spans="1:11" s="204" customFormat="1" ht="17.25" customHeight="1" x14ac:dyDescent="0.3">
      <c r="A33" s="110"/>
      <c r="B33" s="1111"/>
      <c r="C33" s="1097"/>
      <c r="D33" s="1098"/>
      <c r="E33" s="1099"/>
      <c r="F33" s="208" t="str">
        <f ca="1">$F$5</f>
        <v>absolut</v>
      </c>
      <c r="G33" s="209"/>
      <c r="H33" s="209"/>
      <c r="I33" s="209"/>
      <c r="J33" s="209"/>
      <c r="K33" s="210"/>
    </row>
    <row r="34" spans="1:11" s="204" customFormat="1" ht="17.25" customHeight="1" x14ac:dyDescent="0.3">
      <c r="A34" s="110"/>
      <c r="B34" s="1111"/>
      <c r="C34" s="1097"/>
      <c r="D34" s="1098"/>
      <c r="E34" s="1099"/>
      <c r="F34" s="205" t="s">
        <v>462</v>
      </c>
      <c r="G34" s="206" t="str">
        <f>IF(AND(G33&lt;&gt;"",E33&lt;&gt;""),G33/$E33,"")</f>
        <v/>
      </c>
      <c r="H34" s="206" t="str">
        <f>IF(AND(H33&lt;&gt;"",E33&lt;&gt;""),H33/$E33,"")</f>
        <v/>
      </c>
      <c r="I34" s="206" t="str">
        <f>IF(AND(I33&lt;&gt;"",E33&lt;&gt;""),I33/$E33,"")</f>
        <v/>
      </c>
      <c r="J34" s="206" t="str">
        <f>IF(AND(J33&lt;&gt;"",E33&lt;&gt;""),J33/$E33,"")</f>
        <v/>
      </c>
      <c r="K34" s="207" t="str">
        <f>IF(AND(K33&lt;&gt;"",E33&lt;&gt;""),K33/$E33,"")</f>
        <v/>
      </c>
    </row>
    <row r="35" spans="1:11" s="204" customFormat="1" ht="17.25" customHeight="1" x14ac:dyDescent="0.3">
      <c r="A35" s="110"/>
      <c r="B35" s="1111"/>
      <c r="C35" s="1100"/>
      <c r="D35" s="1102"/>
      <c r="E35" s="1104"/>
      <c r="F35" s="208" t="str">
        <f ca="1">$F$5</f>
        <v>absolut</v>
      </c>
      <c r="G35" s="209"/>
      <c r="H35" s="209"/>
      <c r="I35" s="209"/>
      <c r="J35" s="209"/>
      <c r="K35" s="210"/>
    </row>
    <row r="36" spans="1:11" s="204" customFormat="1" ht="17.25" customHeight="1" x14ac:dyDescent="0.3">
      <c r="A36" s="110"/>
      <c r="B36" s="1112"/>
      <c r="C36" s="1101"/>
      <c r="D36" s="1103"/>
      <c r="E36" s="1105"/>
      <c r="F36" s="211" t="s">
        <v>462</v>
      </c>
      <c r="G36" s="212" t="str">
        <f>IF(AND(G35&lt;&gt;"",E35&lt;&gt;""),G35/$E35,"")</f>
        <v/>
      </c>
      <c r="H36" s="212" t="str">
        <f>IF(AND(H35&lt;&gt;"",E35&lt;&gt;""),H35/$E35,"")</f>
        <v/>
      </c>
      <c r="I36" s="212" t="str">
        <f>IF(AND(I35&lt;&gt;"",E35&lt;&gt;""),I35/$E35,"")</f>
        <v/>
      </c>
      <c r="J36" s="212" t="str">
        <f>IF(AND(J35&lt;&gt;"",E35&lt;&gt;""),J35/$E35,"")</f>
        <v/>
      </c>
      <c r="K36" s="213" t="str">
        <f>IF(AND(K35&lt;&gt;"",E35&lt;&gt;""),K35/$E35,"")</f>
        <v/>
      </c>
    </row>
    <row r="37" spans="1:11" ht="17.25" customHeight="1" x14ac:dyDescent="0.3">
      <c r="B37" s="74" t="s">
        <v>2103</v>
      </c>
      <c r="C37" s="97"/>
    </row>
    <row r="38" spans="1:11" ht="17.25" customHeight="1" x14ac:dyDescent="0.3"/>
    <row r="39" spans="1:11" ht="17.25" customHeight="1" x14ac:dyDescent="0.3"/>
    <row r="40" spans="1:11" ht="17.25" customHeight="1" x14ac:dyDescent="0.3"/>
    <row r="41" spans="1:11" ht="17.25" customHeight="1" x14ac:dyDescent="0.3"/>
    <row r="42" spans="1:11" ht="17.25" customHeight="1" x14ac:dyDescent="0.3"/>
  </sheetData>
  <sheetProtection sheet="1" objects="1" scenarios="1" formatCells="0" formatColumns="0" formatRows="0" insertHyperlinks="0" selectLockedCells="1" sort="0" autoFilter="0"/>
  <mergeCells count="52">
    <mergeCell ref="B13:B20"/>
    <mergeCell ref="C13:C14"/>
    <mergeCell ref="D13:D14"/>
    <mergeCell ref="E13:E14"/>
    <mergeCell ref="C15:C16"/>
    <mergeCell ref="D15:D16"/>
    <mergeCell ref="E15:E16"/>
    <mergeCell ref="B5:B12"/>
    <mergeCell ref="C5:C6"/>
    <mergeCell ref="D5:D6"/>
    <mergeCell ref="E5:E6"/>
    <mergeCell ref="C7:C8"/>
    <mergeCell ref="D7:D8"/>
    <mergeCell ref="E7:E8"/>
    <mergeCell ref="C9:C10"/>
    <mergeCell ref="D9:D10"/>
    <mergeCell ref="E9:E10"/>
    <mergeCell ref="C11:C12"/>
    <mergeCell ref="D11:D12"/>
    <mergeCell ref="E11:E12"/>
    <mergeCell ref="E23:E24"/>
    <mergeCell ref="C25:C26"/>
    <mergeCell ref="D25:D26"/>
    <mergeCell ref="E25:E26"/>
    <mergeCell ref="C17:C18"/>
    <mergeCell ref="D17:D18"/>
    <mergeCell ref="E17:E18"/>
    <mergeCell ref="C19:C20"/>
    <mergeCell ref="D19:D20"/>
    <mergeCell ref="E19:E20"/>
    <mergeCell ref="C27:C28"/>
    <mergeCell ref="D27:D28"/>
    <mergeCell ref="E27:E28"/>
    <mergeCell ref="B29:B36"/>
    <mergeCell ref="C29:C30"/>
    <mergeCell ref="D29:D30"/>
    <mergeCell ref="E29:E30"/>
    <mergeCell ref="C31:C32"/>
    <mergeCell ref="D31:D32"/>
    <mergeCell ref="E31:E32"/>
    <mergeCell ref="B21:B28"/>
    <mergeCell ref="C21:C22"/>
    <mergeCell ref="D21:D22"/>
    <mergeCell ref="E21:E22"/>
    <mergeCell ref="C23:C24"/>
    <mergeCell ref="D23:D24"/>
    <mergeCell ref="C33:C34"/>
    <mergeCell ref="D33:D34"/>
    <mergeCell ref="E33:E34"/>
    <mergeCell ref="C35:C36"/>
    <mergeCell ref="D35:D36"/>
    <mergeCell ref="E35:E36"/>
  </mergeCells>
  <conditionalFormatting sqref="G6 G8">
    <cfRule type="colorScale" priority="23">
      <colorScale>
        <cfvo type="num" val="-0.1"/>
        <cfvo type="num" val="0.1"/>
        <color theme="5" tint="0.59999389629810485"/>
        <color theme="6" tint="0.59999389629810485"/>
      </colorScale>
    </cfRule>
    <cfRule type="dataBar" priority="24">
      <dataBar>
        <cfvo type="min"/>
        <cfvo type="max"/>
        <color theme="4" tint="-0.249977111117893"/>
      </dataBar>
    </cfRule>
  </conditionalFormatting>
  <conditionalFormatting sqref="G10">
    <cfRule type="colorScale" priority="21">
      <colorScale>
        <cfvo type="num" val="-0.1"/>
        <cfvo type="num" val="0.1"/>
        <color theme="5" tint="0.59999389629810485"/>
        <color theme="6" tint="0.59999389629810485"/>
      </colorScale>
    </cfRule>
    <cfRule type="dataBar" priority="22">
      <dataBar>
        <cfvo type="min"/>
        <cfvo type="max"/>
        <color theme="4" tint="-0.249977111117893"/>
      </dataBar>
    </cfRule>
  </conditionalFormatting>
  <conditionalFormatting sqref="G12">
    <cfRule type="colorScale" priority="19">
      <colorScale>
        <cfvo type="num" val="-0.1"/>
        <cfvo type="num" val="0.1"/>
        <color theme="5" tint="0.59999389629810485"/>
        <color theme="6" tint="0.59999389629810485"/>
      </colorScale>
    </cfRule>
    <cfRule type="dataBar" priority="20">
      <dataBar>
        <cfvo type="min"/>
        <cfvo type="max"/>
        <color theme="4" tint="-0.249977111117893"/>
      </dataBar>
    </cfRule>
  </conditionalFormatting>
  <conditionalFormatting sqref="G14 G16">
    <cfRule type="colorScale" priority="17">
      <colorScale>
        <cfvo type="num" val="-0.1"/>
        <cfvo type="num" val="0.1"/>
        <color theme="5" tint="0.59999389629810485"/>
        <color theme="6" tint="0.59999389629810485"/>
      </colorScale>
    </cfRule>
    <cfRule type="dataBar" priority="18">
      <dataBar>
        <cfvo type="min"/>
        <cfvo type="max"/>
        <color theme="4" tint="-0.249977111117893"/>
      </dataBar>
    </cfRule>
  </conditionalFormatting>
  <conditionalFormatting sqref="G18">
    <cfRule type="colorScale" priority="15">
      <colorScale>
        <cfvo type="num" val="-0.1"/>
        <cfvo type="num" val="0.1"/>
        <color theme="5" tint="0.59999389629810485"/>
        <color theme="6" tint="0.59999389629810485"/>
      </colorScale>
    </cfRule>
    <cfRule type="dataBar" priority="16">
      <dataBar>
        <cfvo type="min"/>
        <cfvo type="max"/>
        <color theme="4" tint="-0.249977111117893"/>
      </dataBar>
    </cfRule>
  </conditionalFormatting>
  <conditionalFormatting sqref="G20">
    <cfRule type="colorScale" priority="13">
      <colorScale>
        <cfvo type="num" val="-0.1"/>
        <cfvo type="num" val="0.1"/>
        <color theme="5" tint="0.59999389629810485"/>
        <color theme="6" tint="0.59999389629810485"/>
      </colorScale>
    </cfRule>
    <cfRule type="dataBar" priority="14">
      <dataBar>
        <cfvo type="min"/>
        <cfvo type="max"/>
        <color theme="4" tint="-0.249977111117893"/>
      </dataBar>
    </cfRule>
  </conditionalFormatting>
  <conditionalFormatting sqref="G22 G24">
    <cfRule type="colorScale" priority="11">
      <colorScale>
        <cfvo type="num" val="-0.1"/>
        <cfvo type="num" val="0.1"/>
        <color theme="5" tint="0.59999389629810485"/>
        <color theme="6" tint="0.59999389629810485"/>
      </colorScale>
    </cfRule>
    <cfRule type="dataBar" priority="12">
      <dataBar>
        <cfvo type="min"/>
        <cfvo type="max"/>
        <color theme="4" tint="-0.249977111117893"/>
      </dataBar>
    </cfRule>
  </conditionalFormatting>
  <conditionalFormatting sqref="G26">
    <cfRule type="colorScale" priority="9">
      <colorScale>
        <cfvo type="num" val="-0.1"/>
        <cfvo type="num" val="0.1"/>
        <color theme="5" tint="0.59999389629810485"/>
        <color theme="6" tint="0.59999389629810485"/>
      </colorScale>
    </cfRule>
    <cfRule type="dataBar" priority="10">
      <dataBar>
        <cfvo type="min"/>
        <cfvo type="max"/>
        <color theme="4" tint="-0.249977111117893"/>
      </dataBar>
    </cfRule>
  </conditionalFormatting>
  <conditionalFormatting sqref="G28">
    <cfRule type="colorScale" priority="7">
      <colorScale>
        <cfvo type="num" val="-0.1"/>
        <cfvo type="num" val="0.1"/>
        <color theme="5" tint="0.59999389629810485"/>
        <color theme="6" tint="0.59999389629810485"/>
      </colorScale>
    </cfRule>
    <cfRule type="dataBar" priority="8">
      <dataBar>
        <cfvo type="min"/>
        <cfvo type="max"/>
        <color theme="4" tint="-0.249977111117893"/>
      </dataBar>
    </cfRule>
  </conditionalFormatting>
  <conditionalFormatting sqref="G30 G32">
    <cfRule type="colorScale" priority="5">
      <colorScale>
        <cfvo type="num" val="-0.1"/>
        <cfvo type="num" val="0.1"/>
        <color theme="5" tint="0.59999389629810485"/>
        <color theme="6" tint="0.59999389629810485"/>
      </colorScale>
    </cfRule>
    <cfRule type="dataBar" priority="6">
      <dataBar>
        <cfvo type="min"/>
        <cfvo type="max"/>
        <color theme="4" tint="-0.249977111117893"/>
      </dataBar>
    </cfRule>
  </conditionalFormatting>
  <conditionalFormatting sqref="G34">
    <cfRule type="colorScale" priority="3">
      <colorScale>
        <cfvo type="num" val="-0.1"/>
        <cfvo type="num" val="0.1"/>
        <color theme="5" tint="0.59999389629810485"/>
        <color theme="6" tint="0.59999389629810485"/>
      </colorScale>
    </cfRule>
    <cfRule type="dataBar" priority="4">
      <dataBar>
        <cfvo type="min"/>
        <cfvo type="max"/>
        <color theme="4" tint="-0.249977111117893"/>
      </dataBar>
    </cfRule>
  </conditionalFormatting>
  <conditionalFormatting sqref="G36">
    <cfRule type="dataBar" priority="2">
      <dataBar>
        <cfvo type="min"/>
        <cfvo type="max"/>
        <color theme="4" tint="-0.249977111117893"/>
      </dataBar>
    </cfRule>
    <cfRule type="colorScale" priority="1">
      <colorScale>
        <cfvo type="num" val="-0.1"/>
        <cfvo type="num" val="0.1"/>
        <color theme="5" tint="0.59999389629810485"/>
        <color theme="6" tint="0.59999389629810485"/>
      </colorScale>
    </cfRule>
  </conditionalFormatting>
  <conditionalFormatting sqref="H6:K6 H8:K8">
    <cfRule type="dataBar" priority="84">
      <dataBar>
        <cfvo type="min"/>
        <cfvo type="max"/>
        <color theme="4" tint="-0.249977111117893"/>
      </dataBar>
    </cfRule>
    <cfRule type="colorScale" priority="83">
      <colorScale>
        <cfvo type="num" val="-0.1"/>
        <cfvo type="num" val="0.1"/>
        <color theme="5" tint="0.59999389629810485"/>
        <color theme="6" tint="0.59999389629810485"/>
      </colorScale>
    </cfRule>
  </conditionalFormatting>
  <conditionalFormatting sqref="H10:K10">
    <cfRule type="colorScale" priority="45">
      <colorScale>
        <cfvo type="num" val="-0.1"/>
        <cfvo type="num" val="0.1"/>
        <color theme="5" tint="0.59999389629810485"/>
        <color theme="6" tint="0.59999389629810485"/>
      </colorScale>
    </cfRule>
    <cfRule type="dataBar" priority="46">
      <dataBar>
        <cfvo type="min"/>
        <cfvo type="max"/>
        <color theme="4" tint="-0.249977111117893"/>
      </dataBar>
    </cfRule>
  </conditionalFormatting>
  <conditionalFormatting sqref="H12:K12">
    <cfRule type="colorScale" priority="43">
      <colorScale>
        <cfvo type="num" val="-0.1"/>
        <cfvo type="num" val="0.1"/>
        <color theme="5" tint="0.59999389629810485"/>
        <color theme="6" tint="0.59999389629810485"/>
      </colorScale>
    </cfRule>
    <cfRule type="dataBar" priority="44">
      <dataBar>
        <cfvo type="min"/>
        <cfvo type="max"/>
        <color theme="4" tint="-0.249977111117893"/>
      </dataBar>
    </cfRule>
  </conditionalFormatting>
  <conditionalFormatting sqref="H14:K14 H16:K16">
    <cfRule type="colorScale" priority="41">
      <colorScale>
        <cfvo type="num" val="-0.1"/>
        <cfvo type="num" val="0.1"/>
        <color theme="5" tint="0.59999389629810485"/>
        <color theme="6" tint="0.59999389629810485"/>
      </colorScale>
    </cfRule>
    <cfRule type="dataBar" priority="42">
      <dataBar>
        <cfvo type="min"/>
        <cfvo type="max"/>
        <color theme="4" tint="-0.249977111117893"/>
      </dataBar>
    </cfRule>
  </conditionalFormatting>
  <conditionalFormatting sqref="H18:K18">
    <cfRule type="colorScale" priority="39">
      <colorScale>
        <cfvo type="num" val="-0.1"/>
        <cfvo type="num" val="0.1"/>
        <color theme="5" tint="0.59999389629810485"/>
        <color theme="6" tint="0.59999389629810485"/>
      </colorScale>
    </cfRule>
    <cfRule type="dataBar" priority="40">
      <dataBar>
        <cfvo type="min"/>
        <cfvo type="max"/>
        <color theme="4" tint="-0.249977111117893"/>
      </dataBar>
    </cfRule>
  </conditionalFormatting>
  <conditionalFormatting sqref="H20:K20">
    <cfRule type="colorScale" priority="37">
      <colorScale>
        <cfvo type="num" val="-0.1"/>
        <cfvo type="num" val="0.1"/>
        <color theme="5" tint="0.59999389629810485"/>
        <color theme="6" tint="0.59999389629810485"/>
      </colorScale>
    </cfRule>
    <cfRule type="dataBar" priority="38">
      <dataBar>
        <cfvo type="min"/>
        <cfvo type="max"/>
        <color theme="4" tint="-0.249977111117893"/>
      </dataBar>
    </cfRule>
  </conditionalFormatting>
  <conditionalFormatting sqref="H22:K22 H24:K24">
    <cfRule type="colorScale" priority="35">
      <colorScale>
        <cfvo type="num" val="-0.1"/>
        <cfvo type="num" val="0.1"/>
        <color theme="5" tint="0.59999389629810485"/>
        <color theme="6" tint="0.59999389629810485"/>
      </colorScale>
    </cfRule>
    <cfRule type="dataBar" priority="36">
      <dataBar>
        <cfvo type="min"/>
        <cfvo type="max"/>
        <color theme="4" tint="-0.249977111117893"/>
      </dataBar>
    </cfRule>
  </conditionalFormatting>
  <conditionalFormatting sqref="H26:K26">
    <cfRule type="colorScale" priority="33">
      <colorScale>
        <cfvo type="num" val="-0.1"/>
        <cfvo type="num" val="0.1"/>
        <color theme="5" tint="0.59999389629810485"/>
        <color theme="6" tint="0.59999389629810485"/>
      </colorScale>
    </cfRule>
    <cfRule type="dataBar" priority="34">
      <dataBar>
        <cfvo type="min"/>
        <cfvo type="max"/>
        <color theme="4" tint="-0.249977111117893"/>
      </dataBar>
    </cfRule>
  </conditionalFormatting>
  <conditionalFormatting sqref="H28:K28">
    <cfRule type="colorScale" priority="31">
      <colorScale>
        <cfvo type="num" val="-0.1"/>
        <cfvo type="num" val="0.1"/>
        <color theme="5" tint="0.59999389629810485"/>
        <color theme="6" tint="0.59999389629810485"/>
      </colorScale>
    </cfRule>
    <cfRule type="dataBar" priority="32">
      <dataBar>
        <cfvo type="min"/>
        <cfvo type="max"/>
        <color theme="4" tint="-0.249977111117893"/>
      </dataBar>
    </cfRule>
  </conditionalFormatting>
  <conditionalFormatting sqref="H30:K30 H32:K32">
    <cfRule type="colorScale" priority="29">
      <colorScale>
        <cfvo type="num" val="-0.1"/>
        <cfvo type="num" val="0.1"/>
        <color theme="5" tint="0.59999389629810485"/>
        <color theme="6" tint="0.59999389629810485"/>
      </colorScale>
    </cfRule>
    <cfRule type="dataBar" priority="30">
      <dataBar>
        <cfvo type="min"/>
        <cfvo type="max"/>
        <color theme="4" tint="-0.249977111117893"/>
      </dataBar>
    </cfRule>
  </conditionalFormatting>
  <conditionalFormatting sqref="H34:K34">
    <cfRule type="colorScale" priority="27">
      <colorScale>
        <cfvo type="num" val="-0.1"/>
        <cfvo type="num" val="0.1"/>
        <color theme="5" tint="0.59999389629810485"/>
        <color theme="6" tint="0.59999389629810485"/>
      </colorScale>
    </cfRule>
    <cfRule type="dataBar" priority="28">
      <dataBar>
        <cfvo type="min"/>
        <cfvo type="max"/>
        <color theme="4" tint="-0.249977111117893"/>
      </dataBar>
    </cfRule>
  </conditionalFormatting>
  <conditionalFormatting sqref="H36:K36">
    <cfRule type="dataBar" priority="26">
      <dataBar>
        <cfvo type="min"/>
        <cfvo type="max"/>
        <color theme="4" tint="-0.249977111117893"/>
      </dataBar>
    </cfRule>
    <cfRule type="colorScale" priority="25">
      <colorScale>
        <cfvo type="num" val="-0.1"/>
        <cfvo type="num" val="0.1"/>
        <color theme="5" tint="0.59999389629810485"/>
        <color theme="6" tint="0.59999389629810485"/>
      </colorScale>
    </cfRule>
  </conditionalFormatting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&amp;L&amp;8&amp;K00-034(c) S. Imboden&amp;R&amp;8&amp;K00-033Seite &amp;P von &amp;N</oddFooter>
  </headerFooter>
  <drawing r:id="rId2"/>
  <legacyDrawing r:id="rId3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Tabelle15">
    <tabColor theme="0" tint="-0.34998626667073579"/>
  </sheetPr>
  <dimension ref="A1:N30"/>
  <sheetViews>
    <sheetView showGridLines="0" zoomScaleNormal="100" workbookViewId="0">
      <selection activeCell="A2" sqref="A2"/>
    </sheetView>
  </sheetViews>
  <sheetFormatPr baseColWidth="10" defaultColWidth="11.44140625" defaultRowHeight="14.4" x14ac:dyDescent="0.3"/>
  <cols>
    <col min="1" max="1" width="7" style="110" customWidth="1"/>
    <col min="2" max="2" width="8.88671875" style="66" customWidth="1"/>
    <col min="3" max="3" width="23.109375" style="66" customWidth="1"/>
    <col min="4" max="4" width="10.109375" style="66" bestFit="1" customWidth="1"/>
    <col min="5" max="5" width="12.33203125" style="179" bestFit="1" customWidth="1"/>
    <col min="6" max="6" width="9.109375" style="179" customWidth="1"/>
    <col min="7" max="7" width="12.44140625" style="179" bestFit="1" customWidth="1"/>
    <col min="8" max="8" width="10.44140625" style="180" bestFit="1" customWidth="1"/>
    <col min="9" max="13" width="9.109375" style="179" customWidth="1"/>
    <col min="14" max="14" width="7.88671875" style="179" customWidth="1"/>
    <col min="15" max="256" width="9.109375" style="66" customWidth="1"/>
    <col min="257" max="16384" width="11.44140625" style="66"/>
  </cols>
  <sheetData>
    <row r="1" spans="1:14" s="109" customFormat="1" ht="45" customHeight="1" x14ac:dyDescent="0.3">
      <c r="A1" s="166"/>
      <c r="B1" s="103" t="str">
        <f ca="1">' '!A298</f>
        <v>P A R E T O   D I A G R A M M</v>
      </c>
      <c r="C1" s="103"/>
      <c r="D1" s="103"/>
      <c r="E1" s="167"/>
      <c r="F1" s="167"/>
      <c r="G1" s="167"/>
      <c r="H1" s="167"/>
      <c r="I1" s="168"/>
      <c r="J1" s="168"/>
      <c r="K1" s="168"/>
      <c r="L1" s="168"/>
      <c r="M1" s="168"/>
      <c r="N1" s="169"/>
    </row>
    <row r="2" spans="1:14" s="170" customFormat="1" ht="14.25" customHeight="1" x14ac:dyDescent="0.3">
      <c r="A2" s="110"/>
      <c r="C2" s="171"/>
      <c r="E2" s="172"/>
      <c r="F2" s="172"/>
      <c r="G2" s="172"/>
      <c r="H2" s="172"/>
      <c r="I2" s="172"/>
      <c r="J2" s="172"/>
      <c r="K2" s="172"/>
      <c r="L2" s="172"/>
      <c r="M2" s="172"/>
      <c r="N2" s="172"/>
    </row>
    <row r="3" spans="1:14" s="170" customFormat="1" ht="14.25" customHeight="1" x14ac:dyDescent="0.3">
      <c r="A3" s="139"/>
      <c r="C3" s="171"/>
      <c r="E3" s="172"/>
      <c r="F3" s="172"/>
      <c r="G3" s="172"/>
      <c r="H3" s="172"/>
      <c r="I3" s="172"/>
      <c r="J3" s="172"/>
      <c r="K3" s="172"/>
      <c r="L3" s="172"/>
      <c r="M3" s="172"/>
      <c r="N3" s="172"/>
    </row>
    <row r="4" spans="1:14" s="170" customFormat="1" ht="14.25" customHeight="1" x14ac:dyDescent="0.3">
      <c r="A4" s="110"/>
      <c r="C4" s="171"/>
      <c r="E4" s="172"/>
      <c r="F4" s="172"/>
      <c r="G4" s="172"/>
      <c r="H4" s="172"/>
      <c r="I4" s="172"/>
      <c r="J4" s="172"/>
      <c r="K4" s="172"/>
      <c r="L4" s="172"/>
      <c r="M4" s="172"/>
      <c r="N4" s="172"/>
    </row>
    <row r="5" spans="1:14" s="174" customFormat="1" ht="10.5" customHeight="1" x14ac:dyDescent="0.3">
      <c r="A5" s="110"/>
      <c r="B5" s="173"/>
      <c r="D5" s="170"/>
      <c r="E5" s="175"/>
      <c r="F5" s="175"/>
      <c r="G5" s="175"/>
      <c r="H5" s="175"/>
      <c r="I5" s="175"/>
      <c r="J5" s="175"/>
      <c r="K5" s="175"/>
      <c r="L5" s="175"/>
      <c r="M5" s="175"/>
      <c r="N5" s="175"/>
    </row>
    <row r="6" spans="1:14" ht="28.5" customHeight="1" x14ac:dyDescent="0.3">
      <c r="B6" s="176" t="str">
        <f ca="1">' '!A299</f>
        <v>Ranking</v>
      </c>
      <c r="C6" s="177" t="str">
        <f ca="1">' '!A300</f>
        <v>Ursachen des Problems</v>
      </c>
      <c r="D6" s="178" t="str">
        <f ca="1">' '!A301</f>
        <v>Häufig-keit</v>
      </c>
      <c r="E6" s="179" t="s">
        <v>0</v>
      </c>
      <c r="F6" s="179" t="s">
        <v>1</v>
      </c>
      <c r="G6" s="179" t="s">
        <v>2</v>
      </c>
      <c r="H6" s="180" t="s">
        <v>3</v>
      </c>
    </row>
    <row r="7" spans="1:14" s="186" customFormat="1" x14ac:dyDescent="0.3">
      <c r="A7" s="110"/>
      <c r="B7" s="181">
        <f>IF(D7="","",RANK(D7,D$7:D$26)+COUNTIF(D$7:D7,D7)-1)</f>
        <v>11</v>
      </c>
      <c r="C7" s="182" t="s">
        <v>4</v>
      </c>
      <c r="D7" s="183">
        <v>10</v>
      </c>
      <c r="E7" s="184" t="str">
        <f t="shared" ref="E7:E26" si="0">IF(D7="","",INDEX($B$7:$D$26,MATCH(G7,$B$7:$B$26,0),2))</f>
        <v>Reason 20</v>
      </c>
      <c r="F7" s="184">
        <f t="shared" ref="F7:F26" si="1">IF(D7="","",INDEX($B$7:$D$26,MATCH(G7,$B$7:$B$26,0),3))</f>
        <v>21</v>
      </c>
      <c r="G7" s="184">
        <v>1</v>
      </c>
      <c r="H7" s="185">
        <f>IF(F7="","",F7/SUM($F$7:$F$26))</f>
        <v>9.5454545454545459E-2</v>
      </c>
      <c r="I7" s="184"/>
      <c r="J7" s="184"/>
      <c r="K7" s="184"/>
      <c r="L7" s="184"/>
      <c r="M7" s="184"/>
      <c r="N7" s="184"/>
    </row>
    <row r="8" spans="1:14" s="186" customFormat="1" x14ac:dyDescent="0.3">
      <c r="A8" s="110"/>
      <c r="B8" s="181">
        <f>IF(D8="","",RANK(D8,D$7:D$26)+COUNTIF(D$7:D8,D8)-1)</f>
        <v>20</v>
      </c>
      <c r="C8" s="182" t="s">
        <v>429</v>
      </c>
      <c r="D8" s="183">
        <v>2</v>
      </c>
      <c r="E8" s="184" t="str">
        <f t="shared" si="0"/>
        <v>Reason 19</v>
      </c>
      <c r="F8" s="184">
        <f t="shared" si="1"/>
        <v>19</v>
      </c>
      <c r="G8" s="184">
        <v>2</v>
      </c>
      <c r="H8" s="185">
        <f t="shared" ref="H8:H26" si="2">IF(F8="","",(F8/SUM($F$7:$F$26)+H7))</f>
        <v>0.18181818181818182</v>
      </c>
      <c r="I8" s="184"/>
      <c r="J8" s="184"/>
      <c r="K8" s="184"/>
      <c r="L8" s="184"/>
      <c r="M8" s="184"/>
      <c r="N8" s="184"/>
    </row>
    <row r="9" spans="1:14" s="186" customFormat="1" x14ac:dyDescent="0.3">
      <c r="A9" s="110"/>
      <c r="B9" s="181">
        <f>IF(D9="","",RANK(D9,D$7:D$26)+COUNTIF(D$7:D9,D9)-1)</f>
        <v>19</v>
      </c>
      <c r="C9" s="182" t="s">
        <v>430</v>
      </c>
      <c r="D9" s="183">
        <v>3</v>
      </c>
      <c r="E9" s="184" t="str">
        <f t="shared" si="0"/>
        <v>Reason 18</v>
      </c>
      <c r="F9" s="184">
        <f t="shared" si="1"/>
        <v>18</v>
      </c>
      <c r="G9" s="184">
        <v>3</v>
      </c>
      <c r="H9" s="185">
        <f t="shared" si="2"/>
        <v>0.26363636363636367</v>
      </c>
      <c r="I9" s="184"/>
      <c r="J9" s="184"/>
      <c r="K9" s="184"/>
      <c r="L9" s="184"/>
      <c r="M9" s="184"/>
      <c r="N9" s="184"/>
    </row>
    <row r="10" spans="1:14" s="186" customFormat="1" x14ac:dyDescent="0.3">
      <c r="A10" s="110"/>
      <c r="B10" s="181">
        <f>IF(D10="","",RANK(D10,D$7:D$26)+COUNTIF(D$7:D10,D10)-1)</f>
        <v>18</v>
      </c>
      <c r="C10" s="182" t="s">
        <v>431</v>
      </c>
      <c r="D10" s="183">
        <v>4</v>
      </c>
      <c r="E10" s="184" t="str">
        <f t="shared" si="0"/>
        <v>Reason 17</v>
      </c>
      <c r="F10" s="184">
        <f t="shared" si="1"/>
        <v>17</v>
      </c>
      <c r="G10" s="184">
        <v>4</v>
      </c>
      <c r="H10" s="185">
        <f t="shared" si="2"/>
        <v>0.34090909090909094</v>
      </c>
      <c r="I10" s="184"/>
      <c r="J10" s="184"/>
      <c r="K10" s="184"/>
      <c r="L10" s="184"/>
      <c r="M10" s="184"/>
      <c r="N10" s="184"/>
    </row>
    <row r="11" spans="1:14" s="186" customFormat="1" x14ac:dyDescent="0.3">
      <c r="A11" s="110"/>
      <c r="B11" s="181">
        <f>IF(D11="","",RANK(D11,D$7:D$26)+COUNTIF(D$7:D11,D11)-1)</f>
        <v>17</v>
      </c>
      <c r="C11" s="182" t="s">
        <v>432</v>
      </c>
      <c r="D11" s="183">
        <v>5</v>
      </c>
      <c r="E11" s="184" t="str">
        <f t="shared" si="0"/>
        <v>Reason 16</v>
      </c>
      <c r="F11" s="184">
        <f t="shared" si="1"/>
        <v>16</v>
      </c>
      <c r="G11" s="184">
        <v>5</v>
      </c>
      <c r="H11" s="185">
        <f t="shared" si="2"/>
        <v>0.41363636363636369</v>
      </c>
      <c r="I11" s="184"/>
      <c r="J11" s="184"/>
      <c r="K11" s="184"/>
      <c r="L11" s="184"/>
      <c r="M11" s="184"/>
      <c r="N11" s="184"/>
    </row>
    <row r="12" spans="1:14" s="186" customFormat="1" x14ac:dyDescent="0.3">
      <c r="A12" s="110"/>
      <c r="B12" s="181">
        <f>IF(D12="","",RANK(D12,D$7:D$26)+COUNTIF(D$7:D12,D12)-1)</f>
        <v>16</v>
      </c>
      <c r="C12" s="182" t="s">
        <v>433</v>
      </c>
      <c r="D12" s="183">
        <v>6</v>
      </c>
      <c r="E12" s="184" t="str">
        <f t="shared" si="0"/>
        <v>Reason 15</v>
      </c>
      <c r="F12" s="184">
        <f t="shared" si="1"/>
        <v>15</v>
      </c>
      <c r="G12" s="184">
        <v>6</v>
      </c>
      <c r="H12" s="185">
        <f t="shared" si="2"/>
        <v>0.48181818181818187</v>
      </c>
      <c r="I12" s="184"/>
      <c r="J12" s="184"/>
      <c r="K12" s="184"/>
      <c r="L12" s="184"/>
      <c r="M12" s="184"/>
      <c r="N12" s="184"/>
    </row>
    <row r="13" spans="1:14" s="186" customFormat="1" x14ac:dyDescent="0.3">
      <c r="A13" s="110"/>
      <c r="B13" s="181">
        <f>IF(D13="","",RANK(D13,D$7:D$26)+COUNTIF(D$7:D13,D13)-1)</f>
        <v>15</v>
      </c>
      <c r="C13" s="182" t="s">
        <v>434</v>
      </c>
      <c r="D13" s="183">
        <v>7</v>
      </c>
      <c r="E13" s="184" t="str">
        <f t="shared" si="0"/>
        <v>Reason 14</v>
      </c>
      <c r="F13" s="184">
        <f t="shared" si="1"/>
        <v>14</v>
      </c>
      <c r="G13" s="184">
        <v>7</v>
      </c>
      <c r="H13" s="185">
        <f t="shared" si="2"/>
        <v>0.54545454545454553</v>
      </c>
      <c r="I13" s="184"/>
      <c r="J13" s="184"/>
      <c r="K13" s="184"/>
      <c r="L13" s="184"/>
      <c r="M13" s="184"/>
      <c r="N13" s="184"/>
    </row>
    <row r="14" spans="1:14" s="186" customFormat="1" x14ac:dyDescent="0.3">
      <c r="A14" s="110"/>
      <c r="B14" s="181">
        <f>IF(D14="","",RANK(D14,D$7:D$26)+COUNTIF(D$7:D14,D14)-1)</f>
        <v>14</v>
      </c>
      <c r="C14" s="182" t="s">
        <v>435</v>
      </c>
      <c r="D14" s="183">
        <v>8</v>
      </c>
      <c r="E14" s="184" t="str">
        <f t="shared" si="0"/>
        <v>Reason 13</v>
      </c>
      <c r="F14" s="184">
        <f t="shared" si="1"/>
        <v>13</v>
      </c>
      <c r="G14" s="184">
        <v>8</v>
      </c>
      <c r="H14" s="185">
        <f t="shared" si="2"/>
        <v>0.60454545454545461</v>
      </c>
      <c r="I14" s="184"/>
      <c r="J14" s="184"/>
      <c r="K14" s="184"/>
      <c r="L14" s="184"/>
      <c r="M14" s="184"/>
      <c r="N14" s="184"/>
    </row>
    <row r="15" spans="1:14" s="186" customFormat="1" x14ac:dyDescent="0.3">
      <c r="A15" s="110"/>
      <c r="B15" s="181">
        <f>IF(D15="","",RANK(D15,D$7:D$26)+COUNTIF(D$7:D15,D15)-1)</f>
        <v>13</v>
      </c>
      <c r="C15" s="182" t="s">
        <v>436</v>
      </c>
      <c r="D15" s="183">
        <v>9</v>
      </c>
      <c r="E15" s="184" t="str">
        <f t="shared" si="0"/>
        <v>Reason 12</v>
      </c>
      <c r="F15" s="184">
        <f t="shared" si="1"/>
        <v>12</v>
      </c>
      <c r="G15" s="184">
        <v>9</v>
      </c>
      <c r="H15" s="185">
        <f t="shared" si="2"/>
        <v>0.65909090909090917</v>
      </c>
      <c r="I15" s="184"/>
      <c r="J15" s="184"/>
      <c r="K15" s="184"/>
      <c r="L15" s="184"/>
      <c r="M15" s="184"/>
      <c r="N15" s="184"/>
    </row>
    <row r="16" spans="1:14" s="186" customFormat="1" x14ac:dyDescent="0.3">
      <c r="A16" s="110"/>
      <c r="B16" s="181">
        <f>IF(D16="","",RANK(D16,D$7:D$26)+COUNTIF(D$7:D16,D16)-1)</f>
        <v>12</v>
      </c>
      <c r="C16" s="182" t="s">
        <v>437</v>
      </c>
      <c r="D16" s="183">
        <v>10</v>
      </c>
      <c r="E16" s="184" t="str">
        <f t="shared" si="0"/>
        <v>Reason 11</v>
      </c>
      <c r="F16" s="184">
        <f t="shared" si="1"/>
        <v>11</v>
      </c>
      <c r="G16" s="184">
        <v>10</v>
      </c>
      <c r="H16" s="185">
        <f t="shared" si="2"/>
        <v>0.70909090909090922</v>
      </c>
      <c r="I16" s="184"/>
      <c r="J16" s="184"/>
      <c r="K16" s="184"/>
      <c r="L16" s="184"/>
      <c r="M16" s="184"/>
      <c r="N16" s="184"/>
    </row>
    <row r="17" spans="1:14" s="186" customFormat="1" x14ac:dyDescent="0.3">
      <c r="A17" s="110"/>
      <c r="B17" s="181">
        <f>IF(D17="","",RANK(D17,D$7:D$26)+COUNTIF(D$7:D17,D17)-1)</f>
        <v>10</v>
      </c>
      <c r="C17" s="182" t="s">
        <v>438</v>
      </c>
      <c r="D17" s="183">
        <v>11</v>
      </c>
      <c r="E17" s="184" t="str">
        <f t="shared" si="0"/>
        <v>Reason 1</v>
      </c>
      <c r="F17" s="184">
        <f t="shared" si="1"/>
        <v>10</v>
      </c>
      <c r="G17" s="184">
        <v>11</v>
      </c>
      <c r="H17" s="185">
        <f t="shared" si="2"/>
        <v>0.75454545454545463</v>
      </c>
      <c r="I17" s="184"/>
      <c r="J17" s="184"/>
      <c r="K17" s="184"/>
      <c r="L17" s="184"/>
      <c r="M17" s="184"/>
      <c r="N17" s="184"/>
    </row>
    <row r="18" spans="1:14" s="186" customFormat="1" x14ac:dyDescent="0.3">
      <c r="A18" s="110"/>
      <c r="B18" s="181">
        <f>IF(D18="","",RANK(D18,D$7:D$26)+COUNTIF(D$7:D18,D18)-1)</f>
        <v>9</v>
      </c>
      <c r="C18" s="182" t="s">
        <v>439</v>
      </c>
      <c r="D18" s="183">
        <v>12</v>
      </c>
      <c r="E18" s="184" t="str">
        <f t="shared" si="0"/>
        <v>Reason 10</v>
      </c>
      <c r="F18" s="184">
        <f t="shared" si="1"/>
        <v>10</v>
      </c>
      <c r="G18" s="184">
        <v>12</v>
      </c>
      <c r="H18" s="185">
        <f t="shared" si="2"/>
        <v>0.8</v>
      </c>
      <c r="I18" s="184"/>
      <c r="J18" s="184"/>
      <c r="K18" s="184"/>
      <c r="L18" s="184"/>
      <c r="M18" s="184"/>
      <c r="N18" s="184"/>
    </row>
    <row r="19" spans="1:14" s="186" customFormat="1" x14ac:dyDescent="0.3">
      <c r="A19" s="110"/>
      <c r="B19" s="181">
        <f>IF(D19="","",RANK(D19,D$7:D$26)+COUNTIF(D$7:D19,D19)-1)</f>
        <v>8</v>
      </c>
      <c r="C19" s="182" t="s">
        <v>440</v>
      </c>
      <c r="D19" s="183">
        <v>13</v>
      </c>
      <c r="E19" s="184" t="str">
        <f t="shared" si="0"/>
        <v>Reason 9</v>
      </c>
      <c r="F19" s="184">
        <f t="shared" si="1"/>
        <v>9</v>
      </c>
      <c r="G19" s="184">
        <v>13</v>
      </c>
      <c r="H19" s="185">
        <f t="shared" si="2"/>
        <v>0.84090909090909094</v>
      </c>
      <c r="I19" s="184"/>
      <c r="J19" s="184"/>
      <c r="K19" s="184"/>
      <c r="L19" s="184"/>
      <c r="M19" s="184"/>
      <c r="N19" s="184"/>
    </row>
    <row r="20" spans="1:14" s="186" customFormat="1" x14ac:dyDescent="0.3">
      <c r="A20" s="110"/>
      <c r="B20" s="181">
        <f>IF(D20="","",RANK(D20,D$7:D$26)+COUNTIF(D$7:D20,D20)-1)</f>
        <v>7</v>
      </c>
      <c r="C20" s="182" t="s">
        <v>441</v>
      </c>
      <c r="D20" s="183">
        <v>14</v>
      </c>
      <c r="E20" s="184" t="str">
        <f t="shared" si="0"/>
        <v>Reason 8</v>
      </c>
      <c r="F20" s="184">
        <f t="shared" si="1"/>
        <v>8</v>
      </c>
      <c r="G20" s="184">
        <v>14</v>
      </c>
      <c r="H20" s="185">
        <f t="shared" si="2"/>
        <v>0.87727272727272732</v>
      </c>
      <c r="I20" s="184"/>
      <c r="J20" s="184"/>
      <c r="K20" s="184"/>
      <c r="L20" s="184"/>
      <c r="M20" s="184"/>
      <c r="N20" s="184"/>
    </row>
    <row r="21" spans="1:14" s="186" customFormat="1" x14ac:dyDescent="0.3">
      <c r="A21" s="110"/>
      <c r="B21" s="181">
        <f>IF(D21="","",RANK(D21,D$7:D$26)+COUNTIF(D$7:D21,D21)-1)</f>
        <v>6</v>
      </c>
      <c r="C21" s="182" t="s">
        <v>442</v>
      </c>
      <c r="D21" s="183">
        <v>15</v>
      </c>
      <c r="E21" s="184" t="str">
        <f t="shared" si="0"/>
        <v>Reason 7</v>
      </c>
      <c r="F21" s="184">
        <f t="shared" si="1"/>
        <v>7</v>
      </c>
      <c r="G21" s="184">
        <v>15</v>
      </c>
      <c r="H21" s="185">
        <f t="shared" si="2"/>
        <v>0.90909090909090917</v>
      </c>
      <c r="I21" s="184"/>
      <c r="J21" s="184"/>
      <c r="K21" s="184"/>
      <c r="L21" s="184"/>
      <c r="M21" s="184"/>
      <c r="N21" s="184"/>
    </row>
    <row r="22" spans="1:14" s="186" customFormat="1" x14ac:dyDescent="0.3">
      <c r="A22" s="110"/>
      <c r="B22" s="181">
        <f>IF(D22="","",RANK(D22,D$7:D$26)+COUNTIF(D$7:D22,D22)-1)</f>
        <v>5</v>
      </c>
      <c r="C22" s="182" t="s">
        <v>443</v>
      </c>
      <c r="D22" s="183">
        <v>16</v>
      </c>
      <c r="E22" s="184" t="str">
        <f t="shared" si="0"/>
        <v>Reason 6</v>
      </c>
      <c r="F22" s="184">
        <f t="shared" si="1"/>
        <v>6</v>
      </c>
      <c r="G22" s="184">
        <v>16</v>
      </c>
      <c r="H22" s="185">
        <f t="shared" si="2"/>
        <v>0.9363636363636364</v>
      </c>
      <c r="I22" s="184"/>
      <c r="J22" s="184"/>
      <c r="K22" s="184"/>
      <c r="L22" s="184"/>
      <c r="M22" s="184"/>
      <c r="N22" s="184"/>
    </row>
    <row r="23" spans="1:14" s="186" customFormat="1" x14ac:dyDescent="0.3">
      <c r="A23" s="110"/>
      <c r="B23" s="181">
        <f>IF(D23="","",RANK(D23,D$7:D$26)+COUNTIF(D$7:D23,D23)-1)</f>
        <v>4</v>
      </c>
      <c r="C23" s="182" t="s">
        <v>444</v>
      </c>
      <c r="D23" s="183">
        <v>17</v>
      </c>
      <c r="E23" s="184" t="str">
        <f t="shared" si="0"/>
        <v>Reason 5</v>
      </c>
      <c r="F23" s="184">
        <f t="shared" si="1"/>
        <v>5</v>
      </c>
      <c r="G23" s="184">
        <v>17</v>
      </c>
      <c r="H23" s="185">
        <f t="shared" si="2"/>
        <v>0.95909090909090911</v>
      </c>
      <c r="I23" s="184"/>
      <c r="J23" s="184"/>
      <c r="K23" s="184"/>
      <c r="L23" s="184"/>
      <c r="M23" s="184"/>
      <c r="N23" s="184"/>
    </row>
    <row r="24" spans="1:14" s="186" customFormat="1" x14ac:dyDescent="0.3">
      <c r="A24" s="110"/>
      <c r="B24" s="181">
        <f>IF(D24="","",RANK(D24,D$7:D$26)+COUNTIF(D$7:D24,D24)-1)</f>
        <v>3</v>
      </c>
      <c r="C24" s="182" t="s">
        <v>445</v>
      </c>
      <c r="D24" s="183">
        <v>18</v>
      </c>
      <c r="E24" s="184" t="str">
        <f t="shared" si="0"/>
        <v>Reason 4</v>
      </c>
      <c r="F24" s="184">
        <f t="shared" si="1"/>
        <v>4</v>
      </c>
      <c r="G24" s="184">
        <v>18</v>
      </c>
      <c r="H24" s="185">
        <f t="shared" si="2"/>
        <v>0.97727272727272729</v>
      </c>
      <c r="I24" s="184"/>
      <c r="J24" s="184"/>
      <c r="K24" s="184"/>
      <c r="L24" s="184"/>
      <c r="M24" s="184"/>
      <c r="N24" s="184"/>
    </row>
    <row r="25" spans="1:14" s="186" customFormat="1" x14ac:dyDescent="0.3">
      <c r="A25" s="110"/>
      <c r="B25" s="181">
        <f>IF(D25="","",RANK(D25,D$7:D$26)+COUNTIF(D$7:D25,D25)-1)</f>
        <v>2</v>
      </c>
      <c r="C25" s="182" t="s">
        <v>446</v>
      </c>
      <c r="D25" s="183">
        <v>19</v>
      </c>
      <c r="E25" s="184" t="str">
        <f t="shared" si="0"/>
        <v>Reason 3</v>
      </c>
      <c r="F25" s="184">
        <f t="shared" si="1"/>
        <v>3</v>
      </c>
      <c r="G25" s="184">
        <v>19</v>
      </c>
      <c r="H25" s="185">
        <f t="shared" si="2"/>
        <v>0.99090909090909096</v>
      </c>
      <c r="I25" s="184"/>
      <c r="J25" s="184"/>
      <c r="K25" s="184"/>
      <c r="L25" s="184"/>
      <c r="M25" s="184"/>
      <c r="N25" s="184"/>
    </row>
    <row r="26" spans="1:14" s="186" customFormat="1" x14ac:dyDescent="0.3">
      <c r="A26" s="110"/>
      <c r="B26" s="187">
        <f>IF(D26="","",RANK(D26,D$7:D$26)+COUNTIF(D$7:D26,D26)-1)</f>
        <v>1</v>
      </c>
      <c r="C26" s="188" t="s">
        <v>447</v>
      </c>
      <c r="D26" s="189">
        <v>21</v>
      </c>
      <c r="E26" s="184" t="str">
        <f t="shared" si="0"/>
        <v>Reason 2</v>
      </c>
      <c r="F26" s="184">
        <f t="shared" si="1"/>
        <v>2</v>
      </c>
      <c r="G26" s="184">
        <v>20</v>
      </c>
      <c r="H26" s="185">
        <f t="shared" si="2"/>
        <v>1</v>
      </c>
      <c r="I26" s="184"/>
      <c r="J26" s="184"/>
      <c r="K26" s="184"/>
      <c r="L26" s="184"/>
      <c r="M26" s="184"/>
      <c r="N26" s="184"/>
    </row>
    <row r="30" spans="1:14" x14ac:dyDescent="0.3">
      <c r="B30" s="74" t="s">
        <v>2103</v>
      </c>
      <c r="C30" s="97"/>
    </row>
  </sheetData>
  <sheetProtection sheet="1" objects="1" scenarios="1" formatCells="0" formatColumns="0" formatRows="0" insertHyperlinks="0" sort="0" autoFilter="0"/>
  <phoneticPr fontId="0" type="noConversion"/>
  <conditionalFormatting sqref="B7:D26">
    <cfRule type="expression" dxfId="25" priority="101">
      <formula>MOD(ROW(A1),2)=0</formula>
    </cfRule>
    <cfRule type="expression" dxfId="24" priority="102">
      <formula>MOD(ROW(A2),2)=0</formula>
    </cfRule>
  </conditionalFormatting>
  <pageMargins left="3.937007874015748E-2" right="3.937007874015748E-2" top="0.19685039370078741" bottom="0.19685039370078741" header="0" footer="0.11811023622047245"/>
  <pageSetup paperSize="9" orientation="landscape" horizontalDpi="1200" verticalDpi="1200" r:id="rId1"/>
  <headerFooter alignWithMargins="0">
    <oddFooter>&amp;L&amp;8&amp;K00-049(c) S.Imboden&amp;R&amp;8&amp;K00-048Seite &amp;P von &amp;N</oddFooter>
  </headerFooter>
  <drawing r:id="rId2"/>
  <legacyDrawing r:id="rId3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Tabelle26">
    <tabColor theme="0" tint="-0.499984740745262"/>
  </sheetPr>
  <dimension ref="A1:P91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4.4" x14ac:dyDescent="0.3"/>
  <cols>
    <col min="1" max="1" width="7" style="97" customWidth="1"/>
    <col min="2" max="2" width="4.33203125" style="97" customWidth="1"/>
    <col min="3" max="3" width="28" style="97" customWidth="1"/>
    <col min="4" max="4" width="6.109375" style="97" customWidth="1"/>
    <col min="5" max="5" width="34.109375" style="97" customWidth="1"/>
    <col min="6" max="6" width="35.109375" style="97" customWidth="1"/>
    <col min="7" max="7" width="11.109375" style="97" bestFit="1" customWidth="1"/>
    <col min="8" max="8" width="29.109375" style="97" customWidth="1"/>
    <col min="9" max="9" width="6.44140625" style="97" bestFit="1" customWidth="1"/>
    <col min="10" max="10" width="0.109375" style="138" customWidth="1"/>
    <col min="11" max="11" width="11.44140625" style="97"/>
    <col min="12" max="18" width="3.44140625" style="97" customWidth="1"/>
    <col min="19" max="19" width="11.44140625" style="97" customWidth="1"/>
    <col min="20" max="16384" width="11.44140625" style="97"/>
  </cols>
  <sheetData>
    <row r="1" spans="1:16" s="80" customFormat="1" ht="45" customHeight="1" x14ac:dyDescent="0.3">
      <c r="A1" s="132"/>
      <c r="B1" s="81" t="str">
        <f ca="1">' '!A274</f>
        <v>K O M M U N I K A T I O N</v>
      </c>
      <c r="C1" s="132"/>
      <c r="D1" s="132"/>
      <c r="E1" s="81"/>
      <c r="F1" s="81"/>
      <c r="G1" s="81"/>
      <c r="H1" s="81"/>
      <c r="I1" s="82"/>
      <c r="J1" s="133"/>
      <c r="K1" s="84"/>
      <c r="L1" s="84"/>
      <c r="M1" s="84"/>
      <c r="N1" s="84"/>
      <c r="O1" s="84"/>
      <c r="P1" s="84"/>
    </row>
    <row r="2" spans="1:16" s="79" customFormat="1" ht="1.2" customHeight="1" x14ac:dyDescent="0.3">
      <c r="A2" s="134"/>
      <c r="B2" s="134"/>
      <c r="C2" s="134"/>
      <c r="D2" s="134"/>
      <c r="E2" s="135"/>
      <c r="F2" s="135"/>
      <c r="G2" s="135"/>
      <c r="H2" s="135"/>
      <c r="I2" s="135"/>
      <c r="J2" s="133"/>
      <c r="K2" s="136"/>
      <c r="L2" s="136"/>
      <c r="M2" s="136"/>
      <c r="N2" s="136"/>
      <c r="O2" s="136"/>
      <c r="P2" s="136"/>
    </row>
    <row r="3" spans="1:16" ht="33.75" customHeight="1" x14ac:dyDescent="0.3">
      <c r="A3" s="66"/>
      <c r="B3" s="137"/>
    </row>
    <row r="4" spans="1:16" ht="189.75" customHeight="1" x14ac:dyDescent="0.3">
      <c r="A4" s="139" t="s">
        <v>407</v>
      </c>
      <c r="B4" s="140"/>
    </row>
    <row r="5" spans="1:16" ht="9.75" customHeight="1" x14ac:dyDescent="0.3">
      <c r="B5" s="141"/>
    </row>
    <row r="6" spans="1:16" ht="9.75" customHeight="1" x14ac:dyDescent="0.3">
      <c r="B6" s="141"/>
    </row>
    <row r="7" spans="1:16" ht="18" customHeight="1" x14ac:dyDescent="0.3">
      <c r="B7" s="142" t="str">
        <f ca="1">' '!A275</f>
        <v>Intern</v>
      </c>
      <c r="C7" s="142"/>
      <c r="D7" s="142"/>
      <c r="E7" s="142"/>
      <c r="F7" s="142"/>
      <c r="G7" s="142"/>
      <c r="H7" s="142"/>
      <c r="I7" s="142"/>
    </row>
    <row r="8" spans="1:16" s="147" customFormat="1" ht="15.75" customHeight="1" x14ac:dyDescent="0.3">
      <c r="A8" s="97"/>
      <c r="B8" s="143" t="str">
        <f ca="1">' '!A282</f>
        <v>Nr.</v>
      </c>
      <c r="C8" s="144" t="str">
        <f ca="1">' '!A283</f>
        <v>Bezeichnung</v>
      </c>
      <c r="D8" s="144" t="str">
        <f ca="1">' '!A284</f>
        <v>in %</v>
      </c>
      <c r="E8" s="144" t="str">
        <f ca="1">' '!A285</f>
        <v>Hauptstärken</v>
      </c>
      <c r="F8" s="144" t="str">
        <f ca="1">' '!A286</f>
        <v>Hauptschwächen</v>
      </c>
      <c r="G8" s="144" t="str">
        <f ca="1">' '!A287</f>
        <v>Impact</v>
      </c>
      <c r="H8" s="144" t="str">
        <f ca="1">' '!A288</f>
        <v>Bemerkungen</v>
      </c>
      <c r="I8" s="145" t="str">
        <f ca="1">' '!A289</f>
        <v>Status</v>
      </c>
      <c r="J8" s="146"/>
    </row>
    <row r="9" spans="1:16" s="154" customFormat="1" ht="23.4" x14ac:dyDescent="0.3">
      <c r="A9" s="97"/>
      <c r="B9" s="148">
        <v>1</v>
      </c>
      <c r="C9" s="149"/>
      <c r="D9" s="150"/>
      <c r="E9" s="149"/>
      <c r="F9" s="149"/>
      <c r="G9" s="151">
        <v>3</v>
      </c>
      <c r="H9" s="149"/>
      <c r="I9" s="152">
        <v>2</v>
      </c>
      <c r="J9" s="153">
        <f>IF(G9=0,0.1,G9)</f>
        <v>3</v>
      </c>
      <c r="M9" s="155"/>
    </row>
    <row r="10" spans="1:16" s="154" customFormat="1" ht="23.4" x14ac:dyDescent="0.3">
      <c r="A10" s="97"/>
      <c r="B10" s="148">
        <v>2</v>
      </c>
      <c r="C10" s="149"/>
      <c r="D10" s="150"/>
      <c r="E10" s="149"/>
      <c r="F10" s="149"/>
      <c r="G10" s="151">
        <v>4</v>
      </c>
      <c r="H10" s="149"/>
      <c r="I10" s="152"/>
      <c r="J10" s="153">
        <f t="shared" ref="J10:J18" si="0">IF(G10=0,0.1,G10)</f>
        <v>4</v>
      </c>
    </row>
    <row r="11" spans="1:16" s="154" customFormat="1" ht="23.4" x14ac:dyDescent="0.3">
      <c r="A11" s="97"/>
      <c r="B11" s="148">
        <v>3</v>
      </c>
      <c r="C11" s="149"/>
      <c r="D11" s="150"/>
      <c r="E11" s="149"/>
      <c r="F11" s="149"/>
      <c r="G11" s="151">
        <v>3</v>
      </c>
      <c r="H11" s="149"/>
      <c r="I11" s="152"/>
      <c r="J11" s="153">
        <f t="shared" si="0"/>
        <v>3</v>
      </c>
    </row>
    <row r="12" spans="1:16" s="154" customFormat="1" ht="23.4" x14ac:dyDescent="0.3">
      <c r="A12" s="97"/>
      <c r="B12" s="148">
        <v>4</v>
      </c>
      <c r="C12" s="149"/>
      <c r="D12" s="150"/>
      <c r="E12" s="149"/>
      <c r="F12" s="149"/>
      <c r="G12" s="151"/>
      <c r="H12" s="149"/>
      <c r="I12" s="152"/>
      <c r="J12" s="153">
        <f t="shared" si="0"/>
        <v>0.1</v>
      </c>
    </row>
    <row r="13" spans="1:16" s="154" customFormat="1" ht="23.4" x14ac:dyDescent="0.3">
      <c r="A13" s="97"/>
      <c r="B13" s="148">
        <v>5</v>
      </c>
      <c r="C13" s="149"/>
      <c r="D13" s="150"/>
      <c r="E13" s="149"/>
      <c r="F13" s="149"/>
      <c r="G13" s="151"/>
      <c r="H13" s="149"/>
      <c r="I13" s="152"/>
      <c r="J13" s="153">
        <f t="shared" si="0"/>
        <v>0.1</v>
      </c>
    </row>
    <row r="14" spans="1:16" s="154" customFormat="1" ht="23.4" x14ac:dyDescent="0.3">
      <c r="A14" s="97"/>
      <c r="B14" s="148">
        <v>6</v>
      </c>
      <c r="C14" s="149"/>
      <c r="D14" s="150"/>
      <c r="E14" s="149"/>
      <c r="F14" s="149"/>
      <c r="G14" s="151"/>
      <c r="H14" s="149"/>
      <c r="I14" s="152"/>
      <c r="J14" s="153">
        <f t="shared" si="0"/>
        <v>0.1</v>
      </c>
    </row>
    <row r="15" spans="1:16" s="154" customFormat="1" ht="23.4" x14ac:dyDescent="0.3">
      <c r="A15" s="97"/>
      <c r="B15" s="148">
        <v>7</v>
      </c>
      <c r="C15" s="149"/>
      <c r="D15" s="150"/>
      <c r="E15" s="149"/>
      <c r="F15" s="149"/>
      <c r="G15" s="151"/>
      <c r="H15" s="149"/>
      <c r="I15" s="152"/>
      <c r="J15" s="153">
        <f t="shared" si="0"/>
        <v>0.1</v>
      </c>
    </row>
    <row r="16" spans="1:16" s="154" customFormat="1" ht="23.4" x14ac:dyDescent="0.3">
      <c r="A16" s="97"/>
      <c r="B16" s="148">
        <v>8</v>
      </c>
      <c r="C16" s="149"/>
      <c r="D16" s="150"/>
      <c r="E16" s="149"/>
      <c r="F16" s="149"/>
      <c r="G16" s="151"/>
      <c r="H16" s="149"/>
      <c r="I16" s="152"/>
      <c r="J16" s="153">
        <f t="shared" si="0"/>
        <v>0.1</v>
      </c>
    </row>
    <row r="17" spans="1:13" s="154" customFormat="1" ht="23.4" x14ac:dyDescent="0.3">
      <c r="A17" s="97"/>
      <c r="B17" s="148">
        <v>9</v>
      </c>
      <c r="C17" s="149"/>
      <c r="D17" s="150"/>
      <c r="E17" s="149"/>
      <c r="F17" s="149"/>
      <c r="G17" s="151"/>
      <c r="H17" s="149"/>
      <c r="I17" s="152"/>
      <c r="J17" s="153">
        <f t="shared" si="0"/>
        <v>0.1</v>
      </c>
    </row>
    <row r="18" spans="1:13" s="154" customFormat="1" ht="23.4" x14ac:dyDescent="0.3">
      <c r="A18" s="97"/>
      <c r="B18" s="148">
        <v>10</v>
      </c>
      <c r="C18" s="149"/>
      <c r="D18" s="150"/>
      <c r="E18" s="149"/>
      <c r="F18" s="149"/>
      <c r="G18" s="151"/>
      <c r="H18" s="149"/>
      <c r="I18" s="152"/>
      <c r="J18" s="153">
        <f t="shared" si="0"/>
        <v>0.1</v>
      </c>
    </row>
    <row r="19" spans="1:13" ht="18.75" customHeight="1" x14ac:dyDescent="0.3">
      <c r="B19" s="156"/>
      <c r="C19" s="157" t="s">
        <v>340</v>
      </c>
      <c r="D19" s="158">
        <f>SUM(D9:D18)</f>
        <v>0</v>
      </c>
      <c r="E19" s="159"/>
      <c r="F19" s="159"/>
      <c r="G19" s="159"/>
      <c r="H19" s="159"/>
      <c r="I19" s="160"/>
    </row>
    <row r="20" spans="1:13" ht="18.75" customHeight="1" x14ac:dyDescent="0.3">
      <c r="B20" s="141"/>
    </row>
    <row r="21" spans="1:13" ht="18" customHeight="1" x14ac:dyDescent="0.3">
      <c r="B21" s="142" t="str">
        <f ca="1">' '!A276</f>
        <v>Extern</v>
      </c>
      <c r="C21" s="142"/>
      <c r="D21" s="142"/>
      <c r="E21" s="142"/>
      <c r="F21" s="142"/>
      <c r="G21" s="142"/>
      <c r="H21" s="142"/>
      <c r="I21" s="142"/>
    </row>
    <row r="22" spans="1:13" s="147" customFormat="1" ht="15.75" customHeight="1" x14ac:dyDescent="0.3">
      <c r="A22" s="97"/>
      <c r="B22" s="143" t="str">
        <f ca="1">$B$8</f>
        <v>Nr.</v>
      </c>
      <c r="C22" s="144" t="str">
        <f ca="1">$C$8</f>
        <v>Bezeichnung</v>
      </c>
      <c r="D22" s="144" t="str">
        <f ca="1">D8</f>
        <v>in %</v>
      </c>
      <c r="E22" s="144" t="str">
        <f ca="1">$E$8</f>
        <v>Hauptstärken</v>
      </c>
      <c r="F22" s="144" t="str">
        <f ca="1">$F$8</f>
        <v>Hauptschwächen</v>
      </c>
      <c r="G22" s="144" t="str">
        <f ca="1">$G$8</f>
        <v>Impact</v>
      </c>
      <c r="H22" s="144" t="str">
        <f ca="1">H8</f>
        <v>Bemerkungen</v>
      </c>
      <c r="I22" s="145" t="str">
        <f ca="1">$I$8</f>
        <v>Status</v>
      </c>
      <c r="J22" s="146"/>
    </row>
    <row r="23" spans="1:13" s="154" customFormat="1" ht="23.4" x14ac:dyDescent="0.3">
      <c r="A23" s="97"/>
      <c r="B23" s="148">
        <v>1</v>
      </c>
      <c r="C23" s="149"/>
      <c r="D23" s="150">
        <v>0.8</v>
      </c>
      <c r="E23" s="149"/>
      <c r="F23" s="149"/>
      <c r="G23" s="151">
        <v>3</v>
      </c>
      <c r="H23" s="149"/>
      <c r="I23" s="152">
        <v>2</v>
      </c>
      <c r="J23" s="153">
        <f>IF(G23=0,0.1,G23)</f>
        <v>3</v>
      </c>
      <c r="M23" s="155"/>
    </row>
    <row r="24" spans="1:13" s="154" customFormat="1" ht="23.4" x14ac:dyDescent="0.3">
      <c r="A24" s="97"/>
      <c r="B24" s="148">
        <v>2</v>
      </c>
      <c r="C24" s="149"/>
      <c r="D24" s="150">
        <v>0.01</v>
      </c>
      <c r="E24" s="149"/>
      <c r="F24" s="149"/>
      <c r="G24" s="151">
        <v>2</v>
      </c>
      <c r="H24" s="149"/>
      <c r="I24" s="152"/>
      <c r="J24" s="153">
        <f t="shared" ref="J24:J32" si="1">IF(G24=0,0.1,G24)</f>
        <v>2</v>
      </c>
    </row>
    <row r="25" spans="1:13" s="154" customFormat="1" ht="23.4" x14ac:dyDescent="0.3">
      <c r="A25" s="97"/>
      <c r="B25" s="148">
        <v>3</v>
      </c>
      <c r="C25" s="149"/>
      <c r="D25" s="150">
        <v>0.03</v>
      </c>
      <c r="E25" s="149"/>
      <c r="F25" s="149"/>
      <c r="G25" s="151">
        <v>4</v>
      </c>
      <c r="H25" s="149"/>
      <c r="I25" s="152"/>
      <c r="J25" s="153">
        <f t="shared" si="1"/>
        <v>4</v>
      </c>
    </row>
    <row r="26" spans="1:13" s="154" customFormat="1" ht="23.4" x14ac:dyDescent="0.3">
      <c r="A26" s="97"/>
      <c r="B26" s="148">
        <v>4</v>
      </c>
      <c r="C26" s="149"/>
      <c r="D26" s="150">
        <v>0.02</v>
      </c>
      <c r="E26" s="149"/>
      <c r="F26" s="149"/>
      <c r="G26" s="151">
        <v>3</v>
      </c>
      <c r="H26" s="149"/>
      <c r="I26" s="152"/>
      <c r="J26" s="153">
        <f t="shared" si="1"/>
        <v>3</v>
      </c>
    </row>
    <row r="27" spans="1:13" s="154" customFormat="1" ht="23.4" x14ac:dyDescent="0.3">
      <c r="A27" s="97"/>
      <c r="B27" s="148">
        <v>5</v>
      </c>
      <c r="C27" s="149"/>
      <c r="D27" s="150">
        <v>0.05</v>
      </c>
      <c r="E27" s="149"/>
      <c r="F27" s="149"/>
      <c r="G27" s="151">
        <v>2</v>
      </c>
      <c r="H27" s="149"/>
      <c r="I27" s="152"/>
      <c r="J27" s="153">
        <f t="shared" si="1"/>
        <v>2</v>
      </c>
    </row>
    <row r="28" spans="1:13" s="154" customFormat="1" ht="23.4" x14ac:dyDescent="0.3">
      <c r="A28" s="97"/>
      <c r="B28" s="148">
        <v>6</v>
      </c>
      <c r="C28" s="149"/>
      <c r="D28" s="150">
        <v>0.05</v>
      </c>
      <c r="E28" s="149"/>
      <c r="F28" s="149"/>
      <c r="G28" s="151">
        <v>3</v>
      </c>
      <c r="H28" s="149"/>
      <c r="I28" s="152"/>
      <c r="J28" s="153">
        <f t="shared" si="1"/>
        <v>3</v>
      </c>
    </row>
    <row r="29" spans="1:13" s="154" customFormat="1" ht="23.4" x14ac:dyDescent="0.3">
      <c r="A29" s="97"/>
      <c r="B29" s="148">
        <v>7</v>
      </c>
      <c r="C29" s="149"/>
      <c r="D29" s="150">
        <v>0.02</v>
      </c>
      <c r="E29" s="149"/>
      <c r="F29" s="149"/>
      <c r="G29" s="151">
        <v>3</v>
      </c>
      <c r="H29" s="149"/>
      <c r="I29" s="152"/>
      <c r="J29" s="153">
        <f t="shared" si="1"/>
        <v>3</v>
      </c>
    </row>
    <row r="30" spans="1:13" s="154" customFormat="1" ht="23.4" x14ac:dyDescent="0.3">
      <c r="A30" s="97"/>
      <c r="B30" s="148">
        <v>8</v>
      </c>
      <c r="C30" s="149"/>
      <c r="D30" s="150">
        <v>0.02</v>
      </c>
      <c r="E30" s="149"/>
      <c r="F30" s="149"/>
      <c r="G30" s="151">
        <v>3</v>
      </c>
      <c r="H30" s="149"/>
      <c r="I30" s="152"/>
      <c r="J30" s="153">
        <f t="shared" si="1"/>
        <v>3</v>
      </c>
    </row>
    <row r="31" spans="1:13" s="154" customFormat="1" ht="23.4" x14ac:dyDescent="0.3">
      <c r="A31" s="97"/>
      <c r="B31" s="148">
        <v>9</v>
      </c>
      <c r="C31" s="149"/>
      <c r="D31" s="150"/>
      <c r="E31" s="149"/>
      <c r="F31" s="149"/>
      <c r="G31" s="151">
        <v>2</v>
      </c>
      <c r="H31" s="149"/>
      <c r="I31" s="152"/>
      <c r="J31" s="153">
        <f t="shared" si="1"/>
        <v>2</v>
      </c>
    </row>
    <row r="32" spans="1:13" s="154" customFormat="1" ht="23.4" x14ac:dyDescent="0.3">
      <c r="A32" s="97"/>
      <c r="B32" s="148">
        <v>10</v>
      </c>
      <c r="C32" s="149"/>
      <c r="D32" s="150"/>
      <c r="E32" s="149"/>
      <c r="F32" s="149"/>
      <c r="G32" s="151">
        <v>2</v>
      </c>
      <c r="H32" s="149"/>
      <c r="I32" s="152"/>
      <c r="J32" s="153">
        <f t="shared" si="1"/>
        <v>2</v>
      </c>
    </row>
    <row r="33" spans="1:13" ht="18.75" customHeight="1" x14ac:dyDescent="0.3">
      <c r="B33" s="156"/>
      <c r="C33" s="157" t="s">
        <v>340</v>
      </c>
      <c r="D33" s="158">
        <f>SUM(D23:D32)</f>
        <v>1.0000000000000002</v>
      </c>
      <c r="E33" s="159"/>
      <c r="F33" s="159"/>
      <c r="G33" s="159"/>
      <c r="H33" s="159"/>
      <c r="I33" s="160"/>
    </row>
    <row r="34" spans="1:13" ht="18.75" customHeight="1" x14ac:dyDescent="0.3">
      <c r="B34" s="141"/>
    </row>
    <row r="35" spans="1:13" ht="18" customHeight="1" x14ac:dyDescent="0.3">
      <c r="B35" s="142" t="str">
        <f ca="1">' '!A277</f>
        <v>Internet</v>
      </c>
      <c r="C35" s="142"/>
      <c r="D35" s="142"/>
      <c r="E35" s="142"/>
      <c r="F35" s="142"/>
      <c r="G35" s="142"/>
      <c r="H35" s="142"/>
      <c r="I35" s="142"/>
    </row>
    <row r="36" spans="1:13" s="147" customFormat="1" ht="15.75" customHeight="1" x14ac:dyDescent="0.3">
      <c r="A36" s="97"/>
      <c r="B36" s="143" t="str">
        <f ca="1">$B$8</f>
        <v>Nr.</v>
      </c>
      <c r="C36" s="144" t="str">
        <f ca="1">$C$8</f>
        <v>Bezeichnung</v>
      </c>
      <c r="D36" s="144" t="str">
        <f ca="1">D22</f>
        <v>in %</v>
      </c>
      <c r="E36" s="144" t="str">
        <f ca="1">$E$8</f>
        <v>Hauptstärken</v>
      </c>
      <c r="F36" s="144" t="str">
        <f ca="1">$F$8</f>
        <v>Hauptschwächen</v>
      </c>
      <c r="G36" s="144" t="str">
        <f ca="1">$G$8</f>
        <v>Impact</v>
      </c>
      <c r="H36" s="144" t="str">
        <f ca="1">H22</f>
        <v>Bemerkungen</v>
      </c>
      <c r="I36" s="145" t="str">
        <f ca="1">$I$8</f>
        <v>Status</v>
      </c>
      <c r="J36" s="146"/>
    </row>
    <row r="37" spans="1:13" s="154" customFormat="1" ht="23.4" x14ac:dyDescent="0.3">
      <c r="A37" s="97"/>
      <c r="B37" s="148">
        <v>1</v>
      </c>
      <c r="C37" s="149"/>
      <c r="D37" s="150"/>
      <c r="E37" s="149"/>
      <c r="F37" s="149"/>
      <c r="G37" s="151">
        <v>3</v>
      </c>
      <c r="H37" s="149"/>
      <c r="I37" s="152">
        <v>2</v>
      </c>
      <c r="J37" s="153">
        <f>IF(G37=0,0.1,G37)</f>
        <v>3</v>
      </c>
      <c r="M37" s="155"/>
    </row>
    <row r="38" spans="1:13" s="154" customFormat="1" ht="23.4" x14ac:dyDescent="0.3">
      <c r="A38" s="97"/>
      <c r="B38" s="148">
        <v>2</v>
      </c>
      <c r="C38" s="149"/>
      <c r="D38" s="150"/>
      <c r="E38" s="149"/>
      <c r="F38" s="149"/>
      <c r="G38" s="151">
        <v>1</v>
      </c>
      <c r="H38" s="149"/>
      <c r="I38" s="152"/>
      <c r="J38" s="153">
        <f t="shared" ref="J38:J46" si="2">IF(G38=0,0.1,G38)</f>
        <v>1</v>
      </c>
    </row>
    <row r="39" spans="1:13" s="154" customFormat="1" ht="23.4" x14ac:dyDescent="0.3">
      <c r="A39" s="97"/>
      <c r="B39" s="148">
        <v>3</v>
      </c>
      <c r="C39" s="149"/>
      <c r="D39" s="150"/>
      <c r="E39" s="149"/>
      <c r="F39" s="149"/>
      <c r="G39" s="151">
        <v>3</v>
      </c>
      <c r="H39" s="149"/>
      <c r="I39" s="152"/>
      <c r="J39" s="153">
        <f t="shared" si="2"/>
        <v>3</v>
      </c>
    </row>
    <row r="40" spans="1:13" s="154" customFormat="1" ht="23.4" x14ac:dyDescent="0.3">
      <c r="A40" s="97"/>
      <c r="B40" s="148">
        <v>4</v>
      </c>
      <c r="C40" s="149"/>
      <c r="D40" s="150"/>
      <c r="E40" s="149"/>
      <c r="F40" s="149"/>
      <c r="G40" s="151"/>
      <c r="H40" s="149"/>
      <c r="I40" s="152"/>
      <c r="J40" s="153">
        <f t="shared" si="2"/>
        <v>0.1</v>
      </c>
    </row>
    <row r="41" spans="1:13" s="154" customFormat="1" ht="23.4" x14ac:dyDescent="0.3">
      <c r="A41" s="97"/>
      <c r="B41" s="148">
        <v>5</v>
      </c>
      <c r="C41" s="149"/>
      <c r="D41" s="150"/>
      <c r="E41" s="149"/>
      <c r="F41" s="149"/>
      <c r="G41" s="151"/>
      <c r="H41" s="149"/>
      <c r="I41" s="152"/>
      <c r="J41" s="153">
        <f t="shared" si="2"/>
        <v>0.1</v>
      </c>
    </row>
    <row r="42" spans="1:13" s="154" customFormat="1" ht="23.4" x14ac:dyDescent="0.3">
      <c r="A42" s="97"/>
      <c r="B42" s="148">
        <v>6</v>
      </c>
      <c r="C42" s="149"/>
      <c r="D42" s="150"/>
      <c r="E42" s="149"/>
      <c r="F42" s="149"/>
      <c r="G42" s="151"/>
      <c r="H42" s="149"/>
      <c r="I42" s="152"/>
      <c r="J42" s="153">
        <f t="shared" si="2"/>
        <v>0.1</v>
      </c>
    </row>
    <row r="43" spans="1:13" s="154" customFormat="1" ht="23.4" x14ac:dyDescent="0.3">
      <c r="A43" s="97"/>
      <c r="B43" s="148">
        <v>7</v>
      </c>
      <c r="C43" s="149"/>
      <c r="D43" s="150"/>
      <c r="E43" s="149"/>
      <c r="F43" s="149"/>
      <c r="G43" s="151"/>
      <c r="H43" s="149"/>
      <c r="I43" s="152"/>
      <c r="J43" s="153">
        <f t="shared" si="2"/>
        <v>0.1</v>
      </c>
    </row>
    <row r="44" spans="1:13" s="154" customFormat="1" ht="23.4" x14ac:dyDescent="0.3">
      <c r="A44" s="97"/>
      <c r="B44" s="148">
        <v>8</v>
      </c>
      <c r="C44" s="149"/>
      <c r="D44" s="150"/>
      <c r="E44" s="149"/>
      <c r="F44" s="149"/>
      <c r="G44" s="151"/>
      <c r="H44" s="149"/>
      <c r="I44" s="152"/>
      <c r="J44" s="153">
        <f t="shared" si="2"/>
        <v>0.1</v>
      </c>
    </row>
    <row r="45" spans="1:13" s="154" customFormat="1" ht="23.4" x14ac:dyDescent="0.3">
      <c r="A45" s="97"/>
      <c r="B45" s="148">
        <v>9</v>
      </c>
      <c r="C45" s="149"/>
      <c r="D45" s="150"/>
      <c r="E45" s="149"/>
      <c r="F45" s="149"/>
      <c r="G45" s="151"/>
      <c r="H45" s="149"/>
      <c r="I45" s="152"/>
      <c r="J45" s="153">
        <f t="shared" si="2"/>
        <v>0.1</v>
      </c>
    </row>
    <row r="46" spans="1:13" s="154" customFormat="1" ht="23.4" x14ac:dyDescent="0.3">
      <c r="A46" s="97"/>
      <c r="B46" s="148">
        <v>10</v>
      </c>
      <c r="C46" s="149"/>
      <c r="D46" s="150"/>
      <c r="E46" s="149"/>
      <c r="F46" s="149"/>
      <c r="G46" s="151"/>
      <c r="H46" s="149"/>
      <c r="I46" s="152"/>
      <c r="J46" s="153">
        <f t="shared" si="2"/>
        <v>0.1</v>
      </c>
    </row>
    <row r="47" spans="1:13" ht="18.75" customHeight="1" x14ac:dyDescent="0.3">
      <c r="B47" s="156"/>
      <c r="C47" s="157" t="s">
        <v>340</v>
      </c>
      <c r="D47" s="158">
        <f>SUM(D37:D46)</f>
        <v>0</v>
      </c>
      <c r="E47" s="159"/>
      <c r="F47" s="159"/>
      <c r="G47" s="159"/>
      <c r="H47" s="159"/>
      <c r="I47" s="160"/>
    </row>
    <row r="48" spans="1:13" ht="18.75" customHeight="1" x14ac:dyDescent="0.3">
      <c r="B48" s="141"/>
    </row>
    <row r="49" spans="1:13" ht="18" customHeight="1" x14ac:dyDescent="0.3">
      <c r="B49" s="142" t="str">
        <f ca="1">' '!A278</f>
        <v>Social Medias</v>
      </c>
      <c r="C49" s="142"/>
      <c r="D49" s="142"/>
      <c r="E49" s="142"/>
      <c r="F49" s="142"/>
      <c r="G49" s="142"/>
      <c r="H49" s="142"/>
      <c r="I49" s="142"/>
    </row>
    <row r="50" spans="1:13" s="147" customFormat="1" ht="15.75" customHeight="1" x14ac:dyDescent="0.3">
      <c r="A50" s="97"/>
      <c r="B50" s="143" t="str">
        <f ca="1">$B$8</f>
        <v>Nr.</v>
      </c>
      <c r="C50" s="144" t="str">
        <f ca="1">$C$8</f>
        <v>Bezeichnung</v>
      </c>
      <c r="D50" s="144" t="str">
        <f ca="1">D36</f>
        <v>in %</v>
      </c>
      <c r="E50" s="144" t="str">
        <f ca="1">$E$8</f>
        <v>Hauptstärken</v>
      </c>
      <c r="F50" s="144" t="str">
        <f ca="1">$F$8</f>
        <v>Hauptschwächen</v>
      </c>
      <c r="G50" s="144" t="str">
        <f ca="1">$G$8</f>
        <v>Impact</v>
      </c>
      <c r="H50" s="144" t="str">
        <f ca="1">H36</f>
        <v>Bemerkungen</v>
      </c>
      <c r="I50" s="145" t="str">
        <f ca="1">$I$8</f>
        <v>Status</v>
      </c>
      <c r="J50" s="146"/>
    </row>
    <row r="51" spans="1:13" s="154" customFormat="1" ht="23.4" x14ac:dyDescent="0.3">
      <c r="A51" s="97"/>
      <c r="B51" s="148">
        <v>1</v>
      </c>
      <c r="C51" s="149"/>
      <c r="D51" s="150"/>
      <c r="E51" s="149"/>
      <c r="F51" s="149"/>
      <c r="G51" s="151">
        <v>3</v>
      </c>
      <c r="H51" s="149"/>
      <c r="I51" s="152">
        <v>2</v>
      </c>
      <c r="J51" s="153">
        <f>IF(G51=0,0.1,G51)</f>
        <v>3</v>
      </c>
      <c r="M51" s="155"/>
    </row>
    <row r="52" spans="1:13" s="154" customFormat="1" ht="23.4" x14ac:dyDescent="0.3">
      <c r="A52" s="97"/>
      <c r="B52" s="148">
        <v>2</v>
      </c>
      <c r="C52" s="149"/>
      <c r="D52" s="150"/>
      <c r="E52" s="149"/>
      <c r="F52" s="149"/>
      <c r="G52" s="151">
        <v>1</v>
      </c>
      <c r="H52" s="149"/>
      <c r="I52" s="152"/>
      <c r="J52" s="153">
        <f t="shared" ref="J52:J60" si="3">IF(G52=0,0.1,G52)</f>
        <v>1</v>
      </c>
    </row>
    <row r="53" spans="1:13" s="154" customFormat="1" ht="23.4" x14ac:dyDescent="0.3">
      <c r="A53" s="97"/>
      <c r="B53" s="148">
        <v>3</v>
      </c>
      <c r="C53" s="149"/>
      <c r="D53" s="150"/>
      <c r="E53" s="149"/>
      <c r="F53" s="149"/>
      <c r="G53" s="151"/>
      <c r="H53" s="149"/>
      <c r="I53" s="152"/>
      <c r="J53" s="153">
        <f t="shared" si="3"/>
        <v>0.1</v>
      </c>
    </row>
    <row r="54" spans="1:13" s="154" customFormat="1" ht="23.4" x14ac:dyDescent="0.3">
      <c r="A54" s="97"/>
      <c r="B54" s="148">
        <v>4</v>
      </c>
      <c r="C54" s="149"/>
      <c r="D54" s="150"/>
      <c r="E54" s="149"/>
      <c r="F54" s="149"/>
      <c r="G54" s="151"/>
      <c r="H54" s="149"/>
      <c r="I54" s="152"/>
      <c r="J54" s="153">
        <f t="shared" si="3"/>
        <v>0.1</v>
      </c>
    </row>
    <row r="55" spans="1:13" s="154" customFormat="1" ht="23.4" x14ac:dyDescent="0.3">
      <c r="A55" s="97"/>
      <c r="B55" s="148">
        <v>5</v>
      </c>
      <c r="C55" s="149"/>
      <c r="D55" s="150"/>
      <c r="E55" s="149"/>
      <c r="F55" s="149"/>
      <c r="G55" s="151"/>
      <c r="H55" s="149"/>
      <c r="I55" s="152"/>
      <c r="J55" s="153">
        <f t="shared" si="3"/>
        <v>0.1</v>
      </c>
    </row>
    <row r="56" spans="1:13" s="154" customFormat="1" ht="23.4" x14ac:dyDescent="0.3">
      <c r="A56" s="97"/>
      <c r="B56" s="148">
        <v>6</v>
      </c>
      <c r="C56" s="149"/>
      <c r="D56" s="150"/>
      <c r="E56" s="149"/>
      <c r="F56" s="149"/>
      <c r="G56" s="151"/>
      <c r="H56" s="149"/>
      <c r="I56" s="152"/>
      <c r="J56" s="153">
        <f t="shared" si="3"/>
        <v>0.1</v>
      </c>
    </row>
    <row r="57" spans="1:13" s="154" customFormat="1" ht="23.4" x14ac:dyDescent="0.3">
      <c r="A57" s="97"/>
      <c r="B57" s="148">
        <v>7</v>
      </c>
      <c r="C57" s="149"/>
      <c r="D57" s="150"/>
      <c r="E57" s="149"/>
      <c r="F57" s="149"/>
      <c r="G57" s="151"/>
      <c r="H57" s="149"/>
      <c r="I57" s="152"/>
      <c r="J57" s="153">
        <f t="shared" si="3"/>
        <v>0.1</v>
      </c>
    </row>
    <row r="58" spans="1:13" s="154" customFormat="1" ht="23.4" x14ac:dyDescent="0.3">
      <c r="A58" s="97"/>
      <c r="B58" s="148">
        <v>8</v>
      </c>
      <c r="C58" s="149"/>
      <c r="D58" s="150"/>
      <c r="E58" s="149"/>
      <c r="F58" s="149"/>
      <c r="G58" s="151"/>
      <c r="H58" s="149"/>
      <c r="I58" s="152"/>
      <c r="J58" s="153">
        <f t="shared" si="3"/>
        <v>0.1</v>
      </c>
    </row>
    <row r="59" spans="1:13" s="154" customFormat="1" ht="23.4" x14ac:dyDescent="0.3">
      <c r="A59" s="97"/>
      <c r="B59" s="148">
        <v>9</v>
      </c>
      <c r="C59" s="149"/>
      <c r="D59" s="150"/>
      <c r="E59" s="149"/>
      <c r="F59" s="149"/>
      <c r="G59" s="151"/>
      <c r="H59" s="149"/>
      <c r="I59" s="152"/>
      <c r="J59" s="153">
        <f t="shared" si="3"/>
        <v>0.1</v>
      </c>
    </row>
    <row r="60" spans="1:13" s="154" customFormat="1" ht="23.4" x14ac:dyDescent="0.3">
      <c r="A60" s="97"/>
      <c r="B60" s="148">
        <v>10</v>
      </c>
      <c r="C60" s="149"/>
      <c r="D60" s="150"/>
      <c r="E60" s="149"/>
      <c r="F60" s="149"/>
      <c r="G60" s="151"/>
      <c r="H60" s="149"/>
      <c r="I60" s="152"/>
      <c r="J60" s="153">
        <f t="shared" si="3"/>
        <v>0.1</v>
      </c>
    </row>
    <row r="61" spans="1:13" ht="18.75" customHeight="1" x14ac:dyDescent="0.3">
      <c r="B61" s="156"/>
      <c r="C61" s="157" t="s">
        <v>340</v>
      </c>
      <c r="D61" s="158">
        <f>SUM(D51:D60)</f>
        <v>0</v>
      </c>
      <c r="E61" s="159"/>
      <c r="F61" s="159"/>
      <c r="G61" s="159"/>
      <c r="H61" s="159"/>
      <c r="I61" s="160"/>
    </row>
    <row r="62" spans="1:13" ht="18.75" customHeight="1" x14ac:dyDescent="0.3">
      <c r="B62" s="141"/>
    </row>
    <row r="63" spans="1:13" ht="18" customHeight="1" x14ac:dyDescent="0.3">
      <c r="B63" s="142" t="str">
        <f ca="1">' '!A279</f>
        <v>Public Relations</v>
      </c>
      <c r="C63" s="142"/>
      <c r="D63" s="142"/>
      <c r="E63" s="142"/>
      <c r="F63" s="142"/>
      <c r="G63" s="142"/>
      <c r="H63" s="142"/>
      <c r="I63" s="142"/>
    </row>
    <row r="64" spans="1:13" s="147" customFormat="1" ht="15.75" customHeight="1" x14ac:dyDescent="0.3">
      <c r="A64" s="97"/>
      <c r="B64" s="143" t="str">
        <f ca="1">$B$8</f>
        <v>Nr.</v>
      </c>
      <c r="C64" s="144" t="str">
        <f ca="1">$C$8</f>
        <v>Bezeichnung</v>
      </c>
      <c r="D64" s="144" t="str">
        <f ca="1">D50</f>
        <v>in %</v>
      </c>
      <c r="E64" s="144" t="str">
        <f ca="1">$E$8</f>
        <v>Hauptstärken</v>
      </c>
      <c r="F64" s="144" t="str">
        <f ca="1">$F$8</f>
        <v>Hauptschwächen</v>
      </c>
      <c r="G64" s="144" t="str">
        <f ca="1">$G$8</f>
        <v>Impact</v>
      </c>
      <c r="H64" s="144" t="str">
        <f ca="1">H50</f>
        <v>Bemerkungen</v>
      </c>
      <c r="I64" s="145" t="str">
        <f ca="1">$I$8</f>
        <v>Status</v>
      </c>
      <c r="J64" s="146"/>
    </row>
    <row r="65" spans="1:13" s="154" customFormat="1" ht="23.4" x14ac:dyDescent="0.3">
      <c r="A65" s="97"/>
      <c r="B65" s="148">
        <v>1</v>
      </c>
      <c r="C65" s="149"/>
      <c r="D65" s="150"/>
      <c r="E65" s="149"/>
      <c r="F65" s="149"/>
      <c r="G65" s="151">
        <v>4</v>
      </c>
      <c r="H65" s="149"/>
      <c r="I65" s="152">
        <v>2</v>
      </c>
      <c r="J65" s="153">
        <f>IF(G65=0,0.1,G65)</f>
        <v>4</v>
      </c>
      <c r="M65" s="155"/>
    </row>
    <row r="66" spans="1:13" s="154" customFormat="1" ht="23.4" x14ac:dyDescent="0.3">
      <c r="A66" s="97"/>
      <c r="B66" s="148">
        <v>2</v>
      </c>
      <c r="C66" s="149"/>
      <c r="D66" s="150"/>
      <c r="E66" s="149"/>
      <c r="F66" s="149"/>
      <c r="G66" s="151">
        <v>1</v>
      </c>
      <c r="H66" s="149"/>
      <c r="I66" s="152"/>
      <c r="J66" s="153">
        <f t="shared" ref="J66:J74" si="4">IF(G66=0,0.1,G66)</f>
        <v>1</v>
      </c>
    </row>
    <row r="67" spans="1:13" s="154" customFormat="1" ht="23.4" x14ac:dyDescent="0.3">
      <c r="A67" s="97"/>
      <c r="B67" s="148">
        <v>3</v>
      </c>
      <c r="C67" s="149"/>
      <c r="D67" s="150"/>
      <c r="E67" s="149"/>
      <c r="F67" s="149"/>
      <c r="G67" s="151"/>
      <c r="H67" s="149"/>
      <c r="I67" s="152"/>
      <c r="J67" s="153">
        <f t="shared" si="4"/>
        <v>0.1</v>
      </c>
    </row>
    <row r="68" spans="1:13" s="154" customFormat="1" ht="23.4" x14ac:dyDescent="0.3">
      <c r="A68" s="97"/>
      <c r="B68" s="148">
        <v>4</v>
      </c>
      <c r="C68" s="149"/>
      <c r="D68" s="150"/>
      <c r="E68" s="149"/>
      <c r="F68" s="149"/>
      <c r="G68" s="151"/>
      <c r="H68" s="149"/>
      <c r="I68" s="152"/>
      <c r="J68" s="153">
        <f t="shared" si="4"/>
        <v>0.1</v>
      </c>
    </row>
    <row r="69" spans="1:13" s="154" customFormat="1" ht="23.4" x14ac:dyDescent="0.3">
      <c r="A69" s="97"/>
      <c r="B69" s="148">
        <v>5</v>
      </c>
      <c r="C69" s="149"/>
      <c r="D69" s="150"/>
      <c r="E69" s="149"/>
      <c r="F69" s="149"/>
      <c r="G69" s="151"/>
      <c r="H69" s="149"/>
      <c r="I69" s="152"/>
      <c r="J69" s="153">
        <f t="shared" si="4"/>
        <v>0.1</v>
      </c>
    </row>
    <row r="70" spans="1:13" s="154" customFormat="1" ht="23.4" x14ac:dyDescent="0.3">
      <c r="A70" s="97"/>
      <c r="B70" s="148">
        <v>6</v>
      </c>
      <c r="C70" s="149"/>
      <c r="D70" s="150"/>
      <c r="E70" s="149"/>
      <c r="F70" s="149"/>
      <c r="G70" s="151"/>
      <c r="H70" s="149"/>
      <c r="I70" s="152"/>
      <c r="J70" s="153">
        <f t="shared" si="4"/>
        <v>0.1</v>
      </c>
    </row>
    <row r="71" spans="1:13" s="154" customFormat="1" ht="23.4" x14ac:dyDescent="0.3">
      <c r="A71" s="97"/>
      <c r="B71" s="148">
        <v>7</v>
      </c>
      <c r="C71" s="149"/>
      <c r="D71" s="150"/>
      <c r="E71" s="149"/>
      <c r="F71" s="149"/>
      <c r="G71" s="151"/>
      <c r="H71" s="149"/>
      <c r="I71" s="152"/>
      <c r="J71" s="153">
        <f t="shared" si="4"/>
        <v>0.1</v>
      </c>
    </row>
    <row r="72" spans="1:13" s="154" customFormat="1" ht="23.4" x14ac:dyDescent="0.3">
      <c r="A72" s="97"/>
      <c r="B72" s="148">
        <v>8</v>
      </c>
      <c r="C72" s="149"/>
      <c r="D72" s="150"/>
      <c r="E72" s="149"/>
      <c r="F72" s="149"/>
      <c r="G72" s="151"/>
      <c r="H72" s="149"/>
      <c r="I72" s="152"/>
      <c r="J72" s="153">
        <f t="shared" si="4"/>
        <v>0.1</v>
      </c>
    </row>
    <row r="73" spans="1:13" s="154" customFormat="1" ht="23.4" x14ac:dyDescent="0.3">
      <c r="A73" s="97"/>
      <c r="B73" s="148">
        <v>9</v>
      </c>
      <c r="C73" s="149"/>
      <c r="D73" s="150"/>
      <c r="E73" s="149"/>
      <c r="F73" s="149"/>
      <c r="G73" s="151"/>
      <c r="H73" s="149"/>
      <c r="I73" s="152"/>
      <c r="J73" s="153">
        <f t="shared" si="4"/>
        <v>0.1</v>
      </c>
    </row>
    <row r="74" spans="1:13" s="154" customFormat="1" ht="23.4" x14ac:dyDescent="0.3">
      <c r="A74" s="97"/>
      <c r="B74" s="148">
        <v>10</v>
      </c>
      <c r="C74" s="149"/>
      <c r="D74" s="150"/>
      <c r="E74" s="149"/>
      <c r="F74" s="149"/>
      <c r="G74" s="151"/>
      <c r="H74" s="149"/>
      <c r="I74" s="152"/>
      <c r="J74" s="153">
        <f t="shared" si="4"/>
        <v>0.1</v>
      </c>
    </row>
    <row r="75" spans="1:13" ht="18.75" customHeight="1" x14ac:dyDescent="0.3">
      <c r="B75" s="156"/>
      <c r="C75" s="157" t="s">
        <v>340</v>
      </c>
      <c r="D75" s="158">
        <f>SUM(D65:D74)</f>
        <v>0</v>
      </c>
      <c r="E75" s="159"/>
      <c r="F75" s="159"/>
      <c r="G75" s="159"/>
      <c r="H75" s="159"/>
      <c r="I75" s="160"/>
    </row>
    <row r="76" spans="1:13" ht="18.75" customHeight="1" x14ac:dyDescent="0.3">
      <c r="B76" s="141"/>
    </row>
    <row r="77" spans="1:13" ht="18" customHeight="1" x14ac:dyDescent="0.3">
      <c r="B77" s="142" t="str">
        <f ca="1">' '!A280</f>
        <v>Diverses</v>
      </c>
      <c r="C77" s="142"/>
      <c r="D77" s="142"/>
      <c r="E77" s="142"/>
      <c r="F77" s="142"/>
      <c r="G77" s="142"/>
      <c r="H77" s="142"/>
      <c r="I77" s="142"/>
    </row>
    <row r="78" spans="1:13" s="147" customFormat="1" ht="15.75" customHeight="1" x14ac:dyDescent="0.3">
      <c r="A78" s="97"/>
      <c r="B78" s="143" t="str">
        <f ca="1">$B$8</f>
        <v>Nr.</v>
      </c>
      <c r="C78" s="144" t="str">
        <f ca="1">$C$8</f>
        <v>Bezeichnung</v>
      </c>
      <c r="D78" s="144" t="str">
        <f ca="1">D64</f>
        <v>in %</v>
      </c>
      <c r="E78" s="144" t="str">
        <f ca="1">$E$8</f>
        <v>Hauptstärken</v>
      </c>
      <c r="F78" s="144" t="str">
        <f ca="1">$F$8</f>
        <v>Hauptschwächen</v>
      </c>
      <c r="G78" s="144" t="str">
        <f ca="1">$G$8</f>
        <v>Impact</v>
      </c>
      <c r="H78" s="144" t="str">
        <f ca="1">H64</f>
        <v>Bemerkungen</v>
      </c>
      <c r="I78" s="145" t="str">
        <f ca="1">$I$8</f>
        <v>Status</v>
      </c>
      <c r="J78" s="146"/>
    </row>
    <row r="79" spans="1:13" s="154" customFormat="1" ht="23.4" x14ac:dyDescent="0.3">
      <c r="A79" s="97"/>
      <c r="B79" s="148">
        <v>1</v>
      </c>
      <c r="C79" s="149"/>
      <c r="D79" s="150"/>
      <c r="E79" s="149"/>
      <c r="F79" s="149"/>
      <c r="G79" s="151">
        <v>3</v>
      </c>
      <c r="H79" s="149"/>
      <c r="I79" s="152">
        <v>2</v>
      </c>
      <c r="J79" s="153">
        <f>IF(G79=0,0.1,G79)</f>
        <v>3</v>
      </c>
      <c r="M79" s="155"/>
    </row>
    <row r="80" spans="1:13" s="154" customFormat="1" ht="23.4" x14ac:dyDescent="0.3">
      <c r="A80" s="97"/>
      <c r="B80" s="148">
        <v>2</v>
      </c>
      <c r="C80" s="149"/>
      <c r="D80" s="150"/>
      <c r="E80" s="149"/>
      <c r="F80" s="149"/>
      <c r="G80" s="151">
        <v>3</v>
      </c>
      <c r="H80" s="149"/>
      <c r="I80" s="152"/>
      <c r="J80" s="153">
        <f t="shared" ref="J80:J88" si="5">IF(G80=0,0.1,G80)</f>
        <v>3</v>
      </c>
    </row>
    <row r="81" spans="1:10" s="154" customFormat="1" ht="23.4" x14ac:dyDescent="0.3">
      <c r="A81" s="97"/>
      <c r="B81" s="148">
        <v>3</v>
      </c>
      <c r="C81" s="149"/>
      <c r="D81" s="150"/>
      <c r="E81" s="149"/>
      <c r="F81" s="149"/>
      <c r="G81" s="151"/>
      <c r="H81" s="149"/>
      <c r="I81" s="152"/>
      <c r="J81" s="153">
        <f t="shared" si="5"/>
        <v>0.1</v>
      </c>
    </row>
    <row r="82" spans="1:10" s="154" customFormat="1" ht="23.4" x14ac:dyDescent="0.3">
      <c r="A82" s="97"/>
      <c r="B82" s="148">
        <v>4</v>
      </c>
      <c r="C82" s="149"/>
      <c r="D82" s="150"/>
      <c r="E82" s="149"/>
      <c r="F82" s="149"/>
      <c r="G82" s="151"/>
      <c r="H82" s="149"/>
      <c r="I82" s="152"/>
      <c r="J82" s="153">
        <f t="shared" si="5"/>
        <v>0.1</v>
      </c>
    </row>
    <row r="83" spans="1:10" s="154" customFormat="1" ht="23.4" x14ac:dyDescent="0.3">
      <c r="A83" s="97"/>
      <c r="B83" s="148">
        <v>5</v>
      </c>
      <c r="C83" s="149"/>
      <c r="D83" s="150"/>
      <c r="E83" s="149"/>
      <c r="F83" s="149"/>
      <c r="G83" s="151"/>
      <c r="H83" s="149"/>
      <c r="I83" s="152"/>
      <c r="J83" s="153">
        <f t="shared" si="5"/>
        <v>0.1</v>
      </c>
    </row>
    <row r="84" spans="1:10" s="154" customFormat="1" ht="23.4" x14ac:dyDescent="0.3">
      <c r="A84" s="97"/>
      <c r="B84" s="148">
        <v>6</v>
      </c>
      <c r="C84" s="149"/>
      <c r="D84" s="150"/>
      <c r="E84" s="149"/>
      <c r="F84" s="149"/>
      <c r="G84" s="151"/>
      <c r="H84" s="149"/>
      <c r="I84" s="152"/>
      <c r="J84" s="153">
        <f t="shared" si="5"/>
        <v>0.1</v>
      </c>
    </row>
    <row r="85" spans="1:10" s="154" customFormat="1" ht="23.4" x14ac:dyDescent="0.3">
      <c r="A85" s="97"/>
      <c r="B85" s="148">
        <v>7</v>
      </c>
      <c r="C85" s="149"/>
      <c r="D85" s="150"/>
      <c r="E85" s="149"/>
      <c r="F85" s="149"/>
      <c r="G85" s="151"/>
      <c r="H85" s="149"/>
      <c r="I85" s="152"/>
      <c r="J85" s="153">
        <f t="shared" si="5"/>
        <v>0.1</v>
      </c>
    </row>
    <row r="86" spans="1:10" s="154" customFormat="1" ht="23.4" x14ac:dyDescent="0.3">
      <c r="A86" s="97"/>
      <c r="B86" s="148">
        <v>8</v>
      </c>
      <c r="C86" s="149"/>
      <c r="D86" s="150"/>
      <c r="E86" s="149"/>
      <c r="F86" s="149"/>
      <c r="G86" s="151"/>
      <c r="H86" s="149"/>
      <c r="I86" s="152"/>
      <c r="J86" s="153">
        <f t="shared" si="5"/>
        <v>0.1</v>
      </c>
    </row>
    <row r="87" spans="1:10" s="154" customFormat="1" ht="23.4" x14ac:dyDescent="0.3">
      <c r="A87" s="97"/>
      <c r="B87" s="148">
        <v>9</v>
      </c>
      <c r="C87" s="149"/>
      <c r="D87" s="150"/>
      <c r="E87" s="149"/>
      <c r="F87" s="149"/>
      <c r="G87" s="151"/>
      <c r="H87" s="149"/>
      <c r="I87" s="152"/>
      <c r="J87" s="153">
        <f t="shared" si="5"/>
        <v>0.1</v>
      </c>
    </row>
    <row r="88" spans="1:10" s="154" customFormat="1" ht="23.4" x14ac:dyDescent="0.3">
      <c r="A88" s="97"/>
      <c r="B88" s="148">
        <v>10</v>
      </c>
      <c r="C88" s="149"/>
      <c r="D88" s="150"/>
      <c r="E88" s="149"/>
      <c r="F88" s="149"/>
      <c r="G88" s="151"/>
      <c r="H88" s="149"/>
      <c r="I88" s="152"/>
      <c r="J88" s="153">
        <f t="shared" si="5"/>
        <v>0.1</v>
      </c>
    </row>
    <row r="89" spans="1:10" ht="18.75" customHeight="1" x14ac:dyDescent="0.3">
      <c r="B89" s="161"/>
      <c r="C89" s="162" t="s">
        <v>340</v>
      </c>
      <c r="D89" s="163">
        <f>SUM(D79:D88)</f>
        <v>0</v>
      </c>
      <c r="E89" s="164"/>
      <c r="F89" s="164"/>
      <c r="G89" s="164"/>
      <c r="H89" s="164"/>
      <c r="I89" s="165"/>
    </row>
    <row r="90" spans="1:10" ht="18.75" customHeight="1" x14ac:dyDescent="0.3">
      <c r="B90" s="74" t="s">
        <v>2103</v>
      </c>
    </row>
    <row r="91" spans="1:10" ht="18.75" customHeight="1" x14ac:dyDescent="0.3"/>
  </sheetData>
  <sheetProtection sheet="1" objects="1" scenarios="1" formatCells="0" formatColumns="0" formatRows="0" insertHyperlinks="0" selectLockedCells="1" sort="0" autoFilter="0"/>
  <conditionalFormatting sqref="B9:I18">
    <cfRule type="expression" dxfId="23" priority="38">
      <formula>MOD(ROW(XFD1048576),2)=0</formula>
    </cfRule>
    <cfRule type="expression" dxfId="22" priority="39">
      <formula>MOD(ROW(XFD1),2)=0</formula>
    </cfRule>
  </conditionalFormatting>
  <conditionalFormatting sqref="B19:I19">
    <cfRule type="expression" dxfId="21" priority="63">
      <formula>MOD(ROW(#REF!),2)=0</formula>
    </cfRule>
    <cfRule type="expression" dxfId="20" priority="62">
      <formula>MOD(ROW(#REF!),2)=0</formula>
    </cfRule>
  </conditionalFormatting>
  <conditionalFormatting sqref="B23:I32">
    <cfRule type="expression" dxfId="19" priority="2">
      <formula>MOD(ROW(XFD14),2)=0</formula>
    </cfRule>
    <cfRule type="expression" dxfId="18" priority="3">
      <formula>MOD(ROW(XFD15),2)=0</formula>
    </cfRule>
  </conditionalFormatting>
  <conditionalFormatting sqref="B33:I33">
    <cfRule type="expression" dxfId="17" priority="5">
      <formula>MOD(ROW(#REF!),2)=0</formula>
    </cfRule>
    <cfRule type="expression" dxfId="16" priority="6">
      <formula>MOD(ROW(#REF!),2)=0</formula>
    </cfRule>
  </conditionalFormatting>
  <conditionalFormatting sqref="B37:I46">
    <cfRule type="expression" dxfId="15" priority="34">
      <formula>MOD(ROW(XFD28),2)=0</formula>
    </cfRule>
    <cfRule type="expression" dxfId="14" priority="35">
      <formula>MOD(ROW(XFD29),2)=0</formula>
    </cfRule>
  </conditionalFormatting>
  <conditionalFormatting sqref="B47:I47">
    <cfRule type="expression" dxfId="13" priority="56">
      <formula>MOD(ROW(#REF!),2)=0</formula>
    </cfRule>
    <cfRule type="expression" dxfId="12" priority="55">
      <formula>MOD(ROW(#REF!),2)=0</formula>
    </cfRule>
  </conditionalFormatting>
  <conditionalFormatting sqref="B51:I60">
    <cfRule type="expression" dxfId="11" priority="31">
      <formula>MOD(ROW(XFD43),2)=0</formula>
    </cfRule>
    <cfRule type="expression" dxfId="10" priority="30">
      <formula>MOD(ROW(XFD42),2)=0</formula>
    </cfRule>
  </conditionalFormatting>
  <conditionalFormatting sqref="B61:I61">
    <cfRule type="expression" dxfId="9" priority="48">
      <formula>MOD(ROW(#REF!),2)=0</formula>
    </cfRule>
  </conditionalFormatting>
  <conditionalFormatting sqref="B65:I74">
    <cfRule type="expression" dxfId="8" priority="27">
      <formula>MOD(ROW(XFD57),2)=0</formula>
    </cfRule>
    <cfRule type="expression" dxfId="7" priority="26">
      <formula>MOD(ROW(XFD56),2)=0</formula>
    </cfRule>
  </conditionalFormatting>
  <conditionalFormatting sqref="B75:I75">
    <cfRule type="expression" dxfId="6" priority="41">
      <formula>MOD(ROW(#REF!),2)=0</formula>
    </cfRule>
    <cfRule type="expression" dxfId="5" priority="42">
      <formula>MOD(ROW(#REF!),2)=0</formula>
    </cfRule>
  </conditionalFormatting>
  <conditionalFormatting sqref="B79:I88">
    <cfRule type="expression" dxfId="4" priority="15">
      <formula>MOD(ROW(XFD70),2)=0</formula>
    </cfRule>
    <cfRule type="expression" dxfId="3" priority="16">
      <formula>MOD(ROW(XFD71),2)=0</formula>
    </cfRule>
  </conditionalFormatting>
  <conditionalFormatting sqref="B89:I89">
    <cfRule type="expression" dxfId="2" priority="19">
      <formula>MOD(ROW(#REF!),2)=0</formula>
    </cfRule>
  </conditionalFormatting>
  <conditionalFormatting sqref="F61:I61">
    <cfRule type="expression" dxfId="1" priority="49">
      <formula>MOD(ROW(#REF!),2)=0</formula>
    </cfRule>
  </conditionalFormatting>
  <conditionalFormatting sqref="F89:I89">
    <cfRule type="expression" dxfId="0" priority="20">
      <formula>MOD(ROW(#REF!),2)=0</formula>
    </cfRule>
  </conditionalFormatting>
  <conditionalFormatting sqref="I9:I18">
    <cfRule type="iconSet" priority="37">
      <iconSet iconSet="3Symbols2" showValue="0" reverse="1">
        <cfvo type="percent" val="0"/>
        <cfvo type="num" val="2"/>
        <cfvo type="num" val="3"/>
      </iconSet>
    </cfRule>
  </conditionalFormatting>
  <conditionalFormatting sqref="I23:I32">
    <cfRule type="iconSet" priority="1">
      <iconSet iconSet="3Symbols2" showValue="0" reverse="1">
        <cfvo type="percent" val="0"/>
        <cfvo type="num" val="2"/>
        <cfvo type="num" val="3"/>
      </iconSet>
    </cfRule>
  </conditionalFormatting>
  <conditionalFormatting sqref="I37:I46">
    <cfRule type="iconSet" priority="33">
      <iconSet iconSet="3Symbols2" showValue="0" reverse="1">
        <cfvo type="percent" val="0"/>
        <cfvo type="num" val="2"/>
        <cfvo type="num" val="3"/>
      </iconSet>
    </cfRule>
  </conditionalFormatting>
  <conditionalFormatting sqref="I51:I60">
    <cfRule type="iconSet" priority="29">
      <iconSet iconSet="3Symbols2" showValue="0" reverse="1">
        <cfvo type="percent" val="0"/>
        <cfvo type="num" val="2"/>
        <cfvo type="num" val="3"/>
      </iconSet>
    </cfRule>
  </conditionalFormatting>
  <conditionalFormatting sqref="I65:I74">
    <cfRule type="iconSet" priority="25">
      <iconSet iconSet="3Symbols2" showValue="0" reverse="1">
        <cfvo type="percent" val="0"/>
        <cfvo type="num" val="2"/>
        <cfvo type="num" val="3"/>
      </iconSet>
    </cfRule>
  </conditionalFormatting>
  <conditionalFormatting sqref="I79:I88">
    <cfRule type="iconSet" priority="14">
      <iconSet iconSet="3Symbols2" showValue="0" reverse="1">
        <cfvo type="percent" val="0"/>
        <cfvo type="num" val="2"/>
        <cfvo type="num" val="3"/>
      </iconSet>
    </cfRule>
  </conditionalFormatting>
  <dataValidations disablePrompts="1" count="3">
    <dataValidation type="list" showInputMessage="1" showErrorMessage="1" sqref="I23:I34 I37:I48 I51:I62 I9:I19 I65:I76 I79:I91" xr:uid="{00000000-0002-0000-1D00-000000000000}">
      <formula1>"1,2,3"</formula1>
    </dataValidation>
    <dataValidation type="list" showInputMessage="1" showErrorMessage="1" sqref="G9:G18 G51:G60 G37:G46 G65:G74 G79:G88 G23:G32" xr:uid="{00000000-0002-0000-1D00-000001000000}">
      <formula1>"0,1,2,3,4"</formula1>
    </dataValidation>
    <dataValidation showInputMessage="1" showErrorMessage="1" sqref="G20 G34 G48 G62 G76 G90:G91" xr:uid="{00000000-0002-0000-1D00-000002000000}"/>
  </dataValidations>
  <hyperlinks>
    <hyperlink ref="A4" location="x!A192" display="x!A192" xr:uid="{00000000-0004-0000-1D00-000000000000}"/>
  </hyperlinks>
  <pageMargins left="0.23622047244094491" right="0.23622047244094491" top="0.19685039370078741" bottom="0.19685039370078741" header="0.19685039370078741" footer="0.19685039370078741"/>
  <pageSetup paperSize="8" scale="90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1" id="{B654C137-0E74-4DB0-843B-F7CF7701EBD1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E19</xm:sqref>
        </x14:conditionalFormatting>
        <x14:conditionalFormatting xmlns:xm="http://schemas.microsoft.com/office/excel/2006/main">
          <x14:cfRule type="iconSet" priority="12" id="{B8FDDF34-6F0F-46B1-84C6-8A9F824A1DB7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E33</xm:sqref>
        </x14:conditionalFormatting>
        <x14:conditionalFormatting xmlns:xm="http://schemas.microsoft.com/office/excel/2006/main">
          <x14:cfRule type="iconSet" priority="73" id="{550AFDBA-9053-481F-A527-C08257D6C561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E47</xm:sqref>
        </x14:conditionalFormatting>
        <x14:conditionalFormatting xmlns:xm="http://schemas.microsoft.com/office/excel/2006/main">
          <x14:cfRule type="iconSet" priority="74" id="{94146F4B-E28A-44D2-B1A2-ADA4C0CFA6A9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E75</xm:sqref>
        </x14:conditionalFormatting>
        <x14:conditionalFormatting xmlns:xm="http://schemas.microsoft.com/office/excel/2006/main">
          <x14:cfRule type="iconSet" priority="70" id="{8FD51147-E339-4A34-8DF8-FAFA5023AF6D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F19 H19:I19</xm:sqref>
        </x14:conditionalFormatting>
        <x14:conditionalFormatting xmlns:xm="http://schemas.microsoft.com/office/excel/2006/main">
          <x14:cfRule type="iconSet" priority="11" id="{0885894C-9E73-465F-A936-EBC0C27BAA3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F33 H33:I33</xm:sqref>
        </x14:conditionalFormatting>
        <x14:conditionalFormatting xmlns:xm="http://schemas.microsoft.com/office/excel/2006/main">
          <x14:cfRule type="iconSet" priority="58" id="{8277B8A8-EBEF-4128-BD5F-2BBB28404F6E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F47 H47:I47</xm:sqref>
        </x14:conditionalFormatting>
        <x14:conditionalFormatting xmlns:xm="http://schemas.microsoft.com/office/excel/2006/main">
          <x14:cfRule type="iconSet" priority="51" id="{857D5044-18C3-4D75-9BD3-6909CE4463D8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F61 H61:I61</xm:sqref>
        </x14:conditionalFormatting>
        <x14:conditionalFormatting xmlns:xm="http://schemas.microsoft.com/office/excel/2006/main">
          <x14:cfRule type="iconSet" priority="44" id="{5C4DC9D2-D666-4217-B1A2-181ED019C7E4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F75 H75:I75</xm:sqref>
        </x14:conditionalFormatting>
        <x14:conditionalFormatting xmlns:xm="http://schemas.microsoft.com/office/excel/2006/main">
          <x14:cfRule type="iconSet" priority="22" id="{2295ADF8-896E-4A54-BA77-D9B934C867DB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F89 H89:I89</xm:sqref>
        </x14:conditionalFormatting>
        <x14:conditionalFormatting xmlns:xm="http://schemas.microsoft.com/office/excel/2006/main">
          <x14:cfRule type="iconSet" priority="72" id="{53D96764-5AE5-4B9A-8C97-A5986DB126B2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G9:G18</xm:sqref>
        </x14:conditionalFormatting>
        <x14:conditionalFormatting xmlns:xm="http://schemas.microsoft.com/office/excel/2006/main">
          <x14:cfRule type="iconSet" priority="61" id="{80D1B791-347F-4AAB-A39B-2C7FA9E66A4A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G19</xm:sqref>
        </x14:conditionalFormatting>
        <x14:conditionalFormatting xmlns:xm="http://schemas.microsoft.com/office/excel/2006/main">
          <x14:cfRule type="iconSet" priority="13" id="{8648B03B-AC8E-4EE8-A11D-055E0F638C8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G23:G32</xm:sqref>
        </x14:conditionalFormatting>
        <x14:conditionalFormatting xmlns:xm="http://schemas.microsoft.com/office/excel/2006/main">
          <x14:cfRule type="iconSet" priority="4" id="{9D99DD0C-5CA7-4A25-9E17-305E7C8AA3F0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G33</xm:sqref>
        </x14:conditionalFormatting>
        <x14:conditionalFormatting xmlns:xm="http://schemas.microsoft.com/office/excel/2006/main">
          <x14:cfRule type="iconSet" priority="36" id="{6A583537-48D5-40F2-ADC8-67220102BC04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G37:G46</xm:sqref>
        </x14:conditionalFormatting>
        <x14:conditionalFormatting xmlns:xm="http://schemas.microsoft.com/office/excel/2006/main">
          <x14:cfRule type="iconSet" priority="54" id="{4FA7A9C2-B6DF-4C35-98FA-F14595EE89E2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G47</xm:sqref>
        </x14:conditionalFormatting>
        <x14:conditionalFormatting xmlns:xm="http://schemas.microsoft.com/office/excel/2006/main">
          <x14:cfRule type="iconSet" priority="32" id="{B2EDF928-C66D-41A8-865E-9805D0DC5147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G51:G60</xm:sqref>
        </x14:conditionalFormatting>
        <x14:conditionalFormatting xmlns:xm="http://schemas.microsoft.com/office/excel/2006/main">
          <x14:cfRule type="iconSet" priority="47" id="{DF82F400-5EDA-4C7F-877A-F9EDB4963092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G61</xm:sqref>
        </x14:conditionalFormatting>
        <x14:conditionalFormatting xmlns:xm="http://schemas.microsoft.com/office/excel/2006/main">
          <x14:cfRule type="iconSet" priority="28" id="{6A8D5D08-DF3D-4CB9-936A-6FF1A33EC08F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G65:G74</xm:sqref>
        </x14:conditionalFormatting>
        <x14:conditionalFormatting xmlns:xm="http://schemas.microsoft.com/office/excel/2006/main">
          <x14:cfRule type="iconSet" priority="40" id="{ADED4BA3-CF78-4728-AB03-4AFB0CF00D72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G75</xm:sqref>
        </x14:conditionalFormatting>
        <x14:conditionalFormatting xmlns:xm="http://schemas.microsoft.com/office/excel/2006/main">
          <x14:cfRule type="iconSet" priority="17" id="{81480876-625A-4213-9C0E-76F7C7C0117C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G79:G88</xm:sqref>
        </x14:conditionalFormatting>
        <x14:conditionalFormatting xmlns:xm="http://schemas.microsoft.com/office/excel/2006/main">
          <x14:cfRule type="iconSet" priority="18" id="{5EBA1E81-2E83-455D-9D08-5DE62EEFF3DC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G89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Tabelle1">
    <tabColor theme="0" tint="-0.499984740745262"/>
  </sheetPr>
  <dimension ref="A1:T92"/>
  <sheetViews>
    <sheetView showGridLines="0" zoomScaleNormal="100" workbookViewId="0">
      <selection activeCell="A2" sqref="A2"/>
    </sheetView>
  </sheetViews>
  <sheetFormatPr baseColWidth="10" defaultColWidth="11.44140625" defaultRowHeight="14.4" x14ac:dyDescent="0.3"/>
  <cols>
    <col min="1" max="1" width="7" style="125" customWidth="1"/>
    <col min="2" max="2" width="2.6640625" style="125" customWidth="1"/>
    <col min="3" max="5" width="11.44140625" style="125"/>
    <col min="6" max="6" width="11.44140625" style="125" customWidth="1"/>
    <col min="7" max="11" width="11.44140625" style="125"/>
    <col min="12" max="12" width="7.33203125" style="125" customWidth="1"/>
    <col min="13" max="13" width="5" style="125" customWidth="1"/>
    <col min="14" max="14" width="3" style="125" customWidth="1"/>
    <col min="15" max="15" width="2.109375" style="125" customWidth="1"/>
    <col min="16" max="16" width="85" style="125" customWidth="1"/>
    <col min="17" max="17" width="3.44140625" style="125" customWidth="1"/>
    <col min="18" max="18" width="27.109375" style="125" customWidth="1"/>
    <col min="19" max="16384" width="11.44140625" style="125"/>
  </cols>
  <sheetData>
    <row r="1" spans="1:20" s="124" customFormat="1" ht="45" customHeight="1" x14ac:dyDescent="0.3">
      <c r="A1" s="117"/>
      <c r="B1" s="118" t="str">
        <f ca="1">' '!A24</f>
        <v>Phasen nach K. Lewin</v>
      </c>
      <c r="C1" s="119"/>
      <c r="D1" s="119"/>
      <c r="E1" s="119"/>
      <c r="F1" s="119"/>
      <c r="G1" s="119"/>
      <c r="H1" s="119"/>
      <c r="I1" s="119"/>
      <c r="J1" s="120"/>
      <c r="K1" s="121"/>
      <c r="L1" s="122"/>
      <c r="M1" s="123"/>
      <c r="N1" s="123"/>
      <c r="O1" s="123"/>
      <c r="P1" s="123"/>
      <c r="Q1" s="123"/>
      <c r="R1" s="123"/>
      <c r="S1" s="123"/>
    </row>
    <row r="2" spans="1:20" ht="23.25" customHeight="1" x14ac:dyDescent="0.3">
      <c r="C2" s="126"/>
      <c r="D2" s="126"/>
    </row>
    <row r="4" spans="1:20" x14ac:dyDescent="0.3">
      <c r="P4" s="97"/>
    </row>
    <row r="10" spans="1:20" x14ac:dyDescent="0.3">
      <c r="T10" s="127"/>
    </row>
    <row r="24" spans="16:16" x14ac:dyDescent="0.3">
      <c r="P24" s="128"/>
    </row>
    <row r="25" spans="16:16" x14ac:dyDescent="0.3">
      <c r="P25" s="128"/>
    </row>
    <row r="26" spans="16:16" x14ac:dyDescent="0.3">
      <c r="P26" s="128"/>
    </row>
    <row r="27" spans="16:16" x14ac:dyDescent="0.3">
      <c r="P27" s="128"/>
    </row>
    <row r="28" spans="16:16" x14ac:dyDescent="0.3">
      <c r="P28" s="128"/>
    </row>
    <row r="29" spans="16:16" x14ac:dyDescent="0.3">
      <c r="P29" s="128"/>
    </row>
    <row r="30" spans="16:16" ht="5.25" customHeight="1" x14ac:dyDescent="0.3">
      <c r="P30" s="128"/>
    </row>
    <row r="31" spans="16:16" ht="13.5" customHeight="1" x14ac:dyDescent="0.3">
      <c r="P31" s="128"/>
    </row>
    <row r="32" spans="16:16" x14ac:dyDescent="0.3">
      <c r="P32" s="128"/>
    </row>
    <row r="33" spans="1:16" x14ac:dyDescent="0.3">
      <c r="P33" s="128"/>
    </row>
    <row r="34" spans="1:16" s="130" customFormat="1" x14ac:dyDescent="0.3">
      <c r="A34" s="97"/>
      <c r="B34" s="74" t="s">
        <v>2103</v>
      </c>
      <c r="C34" s="97"/>
      <c r="D34" s="129"/>
      <c r="E34" s="129"/>
      <c r="H34" s="129"/>
      <c r="I34" s="129"/>
      <c r="J34" s="129"/>
      <c r="K34" s="1120"/>
      <c r="L34" s="1120"/>
      <c r="P34" s="128"/>
    </row>
    <row r="35" spans="1:16" x14ac:dyDescent="0.3">
      <c r="P35" s="128"/>
    </row>
    <row r="36" spans="1:16" x14ac:dyDescent="0.3">
      <c r="P36" s="128"/>
    </row>
    <row r="37" spans="1:16" x14ac:dyDescent="0.3">
      <c r="P37" s="128"/>
    </row>
    <row r="38" spans="1:16" x14ac:dyDescent="0.3">
      <c r="P38" s="128"/>
    </row>
    <row r="39" spans="1:16" x14ac:dyDescent="0.3">
      <c r="P39" s="128"/>
    </row>
    <row r="40" spans="1:16" x14ac:dyDescent="0.3">
      <c r="P40" s="128"/>
    </row>
    <row r="41" spans="1:16" x14ac:dyDescent="0.3">
      <c r="P41" s="128"/>
    </row>
    <row r="42" spans="1:16" x14ac:dyDescent="0.3">
      <c r="P42" s="128"/>
    </row>
    <row r="43" spans="1:16" x14ac:dyDescent="0.3">
      <c r="P43" s="128"/>
    </row>
    <row r="44" spans="1:16" x14ac:dyDescent="0.3">
      <c r="P44" s="128"/>
    </row>
    <row r="45" spans="1:16" x14ac:dyDescent="0.3">
      <c r="P45" s="128"/>
    </row>
    <row r="46" spans="1:16" x14ac:dyDescent="0.3">
      <c r="P46" s="128"/>
    </row>
    <row r="47" spans="1:16" x14ac:dyDescent="0.3">
      <c r="P47" s="128"/>
    </row>
    <row r="48" spans="1:16" x14ac:dyDescent="0.3">
      <c r="P48" s="128"/>
    </row>
    <row r="49" spans="16:16" x14ac:dyDescent="0.3">
      <c r="P49" s="128"/>
    </row>
    <row r="50" spans="16:16" x14ac:dyDescent="0.3">
      <c r="P50" s="128"/>
    </row>
    <row r="51" spans="16:16" x14ac:dyDescent="0.3">
      <c r="P51" s="128"/>
    </row>
    <row r="52" spans="16:16" x14ac:dyDescent="0.3">
      <c r="P52" s="128"/>
    </row>
    <row r="53" spans="16:16" x14ac:dyDescent="0.3">
      <c r="P53" s="128"/>
    </row>
    <row r="54" spans="16:16" x14ac:dyDescent="0.3">
      <c r="P54" s="128"/>
    </row>
    <row r="92" spans="5:5" ht="15.6" x14ac:dyDescent="0.3">
      <c r="E92" s="131"/>
    </row>
  </sheetData>
  <sheetProtection sheet="1" objects="1" scenarios="1" formatCells="0" formatColumns="0" formatRows="0" insertHyperlinks="0" selectLockedCells="1" sort="0" autoFilter="0"/>
  <mergeCells count="1">
    <mergeCell ref="K34:L34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9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Tabelle43"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4.4" x14ac:dyDescent="0.3"/>
  <cols>
    <col min="1" max="1" width="7" style="110" customWidth="1"/>
    <col min="2" max="2" width="3.5546875" style="110" customWidth="1"/>
    <col min="3" max="3" width="40.5546875" style="110" customWidth="1"/>
    <col min="4" max="4" width="35.33203125" style="110" customWidth="1"/>
    <col min="5" max="5" width="11.6640625" style="110" bestFit="1" customWidth="1"/>
    <col min="6" max="6" width="6.44140625" style="110" customWidth="1"/>
    <col min="7" max="7" width="11.6640625" style="110" customWidth="1"/>
    <col min="8" max="8" width="14.109375" style="110" customWidth="1"/>
    <col min="9" max="9" width="4.5546875" style="110" hidden="1" customWidth="1"/>
    <col min="10" max="10" width="11.44140625" style="110"/>
    <col min="11" max="20" width="3" style="110" customWidth="1"/>
    <col min="21" max="16384" width="11.44140625" style="110"/>
  </cols>
  <sheetData>
    <row r="1" spans="1:19" s="109" customFormat="1" ht="45" customHeight="1" x14ac:dyDescent="0.3">
      <c r="A1" s="103"/>
      <c r="B1" s="104" t="str">
        <f ca="1">' '!A580</f>
        <v>Möchten Sie das Programm "Führungsockpit" öffnen?</v>
      </c>
      <c r="C1" s="103"/>
      <c r="D1" s="103"/>
      <c r="E1" s="103"/>
      <c r="F1" s="105"/>
      <c r="G1" s="106"/>
      <c r="H1" s="107"/>
      <c r="I1" s="103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x14ac:dyDescent="0.3">
      <c r="B2" s="111"/>
    </row>
    <row r="3" spans="1:19" ht="15.6" x14ac:dyDescent="0.3">
      <c r="B3" s="112"/>
    </row>
    <row r="5" spans="1:19" ht="56.25" customHeight="1" x14ac:dyDescent="0.3">
      <c r="B5" s="112"/>
      <c r="D5" s="113" t="str">
        <f ca="1">' '!A581</f>
        <v>Stellen Sie sicher, dass die Datei "01_Cockpit.exe" im selben Verzeichnis abgelegt ist!</v>
      </c>
    </row>
    <row r="6" spans="1:19" ht="15.6" x14ac:dyDescent="0.3">
      <c r="B6" s="112"/>
    </row>
    <row r="7" spans="1:19" ht="15.6" x14ac:dyDescent="0.3">
      <c r="B7" s="112"/>
    </row>
    <row r="8" spans="1:19" x14ac:dyDescent="0.3">
      <c r="B8" s="114"/>
    </row>
    <row r="9" spans="1:19" ht="15.6" x14ac:dyDescent="0.3">
      <c r="B9" s="112"/>
    </row>
    <row r="10" spans="1:19" ht="15.6" x14ac:dyDescent="0.3">
      <c r="B10" s="112"/>
    </row>
    <row r="12" spans="1:19" ht="15.6" x14ac:dyDescent="0.3">
      <c r="B12" s="112"/>
      <c r="D12" s="115"/>
    </row>
    <row r="13" spans="1:19" x14ac:dyDescent="0.3">
      <c r="C13" s="115"/>
      <c r="D13" s="116"/>
      <c r="E13" s="116"/>
      <c r="F13" s="116"/>
      <c r="G13" s="116"/>
      <c r="H13" s="116"/>
    </row>
    <row r="14" spans="1:19" x14ac:dyDescent="0.3">
      <c r="B14" s="116"/>
      <c r="C14" s="116"/>
      <c r="D14" s="116"/>
      <c r="E14" s="116"/>
      <c r="F14" s="116"/>
      <c r="G14" s="116"/>
      <c r="H14" s="116"/>
    </row>
    <row r="15" spans="1:19" x14ac:dyDescent="0.3">
      <c r="B15" s="116"/>
      <c r="C15" s="116"/>
      <c r="D15" s="116"/>
      <c r="E15" s="116"/>
      <c r="F15" s="116"/>
      <c r="G15" s="116"/>
      <c r="H15" s="116"/>
    </row>
    <row r="16" spans="1:19" x14ac:dyDescent="0.3">
      <c r="B16" s="116"/>
      <c r="C16" s="116"/>
      <c r="D16" s="116"/>
      <c r="E16" s="116"/>
      <c r="F16" s="116"/>
      <c r="G16" s="116"/>
      <c r="H16" s="116"/>
    </row>
    <row r="17" spans="2:8" x14ac:dyDescent="0.3">
      <c r="B17" s="116"/>
      <c r="C17" s="116"/>
      <c r="D17" s="116"/>
      <c r="E17" s="116"/>
      <c r="F17" s="116"/>
      <c r="G17" s="116"/>
      <c r="H17" s="116"/>
    </row>
    <row r="18" spans="2:8" x14ac:dyDescent="0.3">
      <c r="B18" s="116"/>
      <c r="C18" s="116"/>
      <c r="D18" s="116"/>
      <c r="E18" s="116"/>
      <c r="F18" s="116"/>
      <c r="G18" s="116"/>
      <c r="H18" s="116"/>
    </row>
    <row r="19" spans="2:8" x14ac:dyDescent="0.3">
      <c r="B19" s="116"/>
      <c r="C19" s="116"/>
      <c r="D19" s="116"/>
      <c r="E19" s="116"/>
      <c r="F19" s="116"/>
      <c r="G19" s="116"/>
      <c r="H19" s="116"/>
    </row>
    <row r="20" spans="2:8" x14ac:dyDescent="0.3">
      <c r="B20" s="116"/>
      <c r="C20" s="116"/>
      <c r="D20" s="116"/>
      <c r="E20" s="116"/>
      <c r="F20" s="116"/>
      <c r="G20" s="116"/>
      <c r="H20" s="116"/>
    </row>
    <row r="21" spans="2:8" x14ac:dyDescent="0.3">
      <c r="B21" s="116"/>
      <c r="C21" s="116"/>
      <c r="D21" s="116"/>
      <c r="E21" s="116"/>
      <c r="F21" s="116"/>
      <c r="G21" s="116"/>
      <c r="H21" s="116"/>
    </row>
    <row r="22" spans="2:8" x14ac:dyDescent="0.3">
      <c r="B22" s="116"/>
      <c r="C22" s="116"/>
      <c r="D22" s="116"/>
      <c r="E22" s="116"/>
      <c r="F22" s="116"/>
      <c r="G22" s="116"/>
      <c r="H22" s="116"/>
    </row>
    <row r="23" spans="2:8" x14ac:dyDescent="0.3">
      <c r="B23" s="116"/>
      <c r="C23" s="116"/>
      <c r="D23" s="116"/>
      <c r="E23" s="116"/>
      <c r="F23" s="116"/>
      <c r="G23" s="116"/>
      <c r="H23" s="116"/>
    </row>
    <row r="24" spans="2:8" x14ac:dyDescent="0.3">
      <c r="B24" s="116"/>
      <c r="C24" s="116"/>
      <c r="D24" s="116"/>
      <c r="E24" s="116"/>
      <c r="F24" s="116"/>
      <c r="G24" s="116"/>
      <c r="H24" s="116"/>
    </row>
    <row r="25" spans="2:8" x14ac:dyDescent="0.3">
      <c r="B25" s="116"/>
      <c r="C25" s="116"/>
      <c r="D25" s="116"/>
      <c r="E25" s="116"/>
      <c r="F25" s="116"/>
      <c r="G25" s="116"/>
      <c r="H25" s="116"/>
    </row>
    <row r="26" spans="2:8" x14ac:dyDescent="0.3">
      <c r="B26" s="116"/>
      <c r="C26" s="116"/>
      <c r="D26" s="116"/>
      <c r="E26" s="116"/>
      <c r="F26" s="116"/>
      <c r="G26" s="116"/>
      <c r="H26" s="116"/>
    </row>
    <row r="27" spans="2:8" x14ac:dyDescent="0.3">
      <c r="B27" s="116"/>
      <c r="C27" s="116"/>
      <c r="D27" s="116"/>
      <c r="E27" s="116"/>
      <c r="F27" s="116"/>
      <c r="G27" s="116"/>
      <c r="H27" s="116"/>
    </row>
    <row r="28" spans="2:8" x14ac:dyDescent="0.3">
      <c r="B28" s="116"/>
      <c r="C28" s="116"/>
      <c r="D28" s="116"/>
      <c r="E28" s="116"/>
      <c r="F28" s="116"/>
      <c r="G28" s="116"/>
      <c r="H28" s="116"/>
    </row>
    <row r="29" spans="2:8" x14ac:dyDescent="0.3">
      <c r="B29" s="116"/>
    </row>
    <row r="30" spans="2:8" x14ac:dyDescent="0.3">
      <c r="B30" s="116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Tabelle44"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4.4" x14ac:dyDescent="0.3"/>
  <cols>
    <col min="1" max="1" width="7" style="110" customWidth="1"/>
    <col min="2" max="2" width="3.5546875" style="110" customWidth="1"/>
    <col min="3" max="3" width="40.5546875" style="110" customWidth="1"/>
    <col min="4" max="4" width="35.33203125" style="110" customWidth="1"/>
    <col min="5" max="5" width="11.6640625" style="110" bestFit="1" customWidth="1"/>
    <col min="6" max="6" width="6.44140625" style="110" customWidth="1"/>
    <col min="7" max="7" width="11.6640625" style="110" customWidth="1"/>
    <col min="8" max="8" width="14.109375" style="110" customWidth="1"/>
    <col min="9" max="9" width="4.5546875" style="110" hidden="1" customWidth="1"/>
    <col min="10" max="10" width="11.44140625" style="110"/>
    <col min="11" max="20" width="3" style="110" customWidth="1"/>
    <col min="21" max="16384" width="11.44140625" style="110"/>
  </cols>
  <sheetData>
    <row r="1" spans="1:19" s="109" customFormat="1" ht="45" customHeight="1" x14ac:dyDescent="0.3">
      <c r="A1" s="103"/>
      <c r="B1" s="104" t="str">
        <f ca="1">' '!A582</f>
        <v>Möchten Sie das Programm "Strategisches Management" öffnen?</v>
      </c>
      <c r="C1" s="103"/>
      <c r="D1" s="103"/>
      <c r="E1" s="103"/>
      <c r="F1" s="105"/>
      <c r="G1" s="106"/>
      <c r="H1" s="107"/>
      <c r="I1" s="103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x14ac:dyDescent="0.3">
      <c r="B2" s="111"/>
    </row>
    <row r="3" spans="1:19" ht="15.6" x14ac:dyDescent="0.3">
      <c r="B3" s="112"/>
    </row>
    <row r="5" spans="1:19" ht="56.25" customHeight="1" x14ac:dyDescent="0.3">
      <c r="B5" s="112"/>
      <c r="D5" s="113" t="str">
        <f ca="1">' '!A583</f>
        <v>Stellen Sie sicher, dass die Datei "02_StrategicManagement.exe" im selben Verzeichnis abgelegt ist!</v>
      </c>
    </row>
    <row r="6" spans="1:19" ht="15.6" x14ac:dyDescent="0.3">
      <c r="B6" s="112"/>
    </row>
    <row r="7" spans="1:19" ht="15.6" x14ac:dyDescent="0.3">
      <c r="B7" s="112"/>
    </row>
    <row r="8" spans="1:19" x14ac:dyDescent="0.3">
      <c r="B8" s="114"/>
    </row>
    <row r="9" spans="1:19" ht="15.6" x14ac:dyDescent="0.3">
      <c r="B9" s="112"/>
    </row>
    <row r="10" spans="1:19" ht="15.6" x14ac:dyDescent="0.3">
      <c r="B10" s="112"/>
    </row>
    <row r="12" spans="1:19" ht="15.6" x14ac:dyDescent="0.3">
      <c r="B12" s="112"/>
      <c r="D12" s="115"/>
    </row>
    <row r="13" spans="1:19" x14ac:dyDescent="0.3">
      <c r="C13" s="115"/>
      <c r="D13" s="116"/>
      <c r="E13" s="116"/>
      <c r="F13" s="116"/>
      <c r="G13" s="116"/>
      <c r="H13" s="116"/>
    </row>
    <row r="14" spans="1:19" x14ac:dyDescent="0.3">
      <c r="B14" s="116"/>
      <c r="C14" s="116"/>
      <c r="D14" s="116"/>
      <c r="E14" s="116"/>
      <c r="F14" s="116"/>
      <c r="G14" s="116"/>
      <c r="H14" s="116"/>
    </row>
    <row r="15" spans="1:19" x14ac:dyDescent="0.3">
      <c r="B15" s="116"/>
      <c r="C15" s="116"/>
      <c r="D15" s="116"/>
      <c r="E15" s="116"/>
      <c r="F15" s="116"/>
      <c r="G15" s="116"/>
      <c r="H15" s="116"/>
    </row>
    <row r="16" spans="1:19" x14ac:dyDescent="0.3">
      <c r="B16" s="116"/>
      <c r="C16" s="116"/>
      <c r="D16" s="116"/>
      <c r="E16" s="116"/>
      <c r="F16" s="116"/>
      <c r="G16" s="116"/>
      <c r="H16" s="116"/>
    </row>
    <row r="17" spans="2:8" x14ac:dyDescent="0.3">
      <c r="B17" s="116"/>
      <c r="C17" s="116"/>
      <c r="D17" s="116"/>
      <c r="E17" s="116"/>
      <c r="F17" s="116"/>
      <c r="G17" s="116"/>
      <c r="H17" s="116"/>
    </row>
    <row r="18" spans="2:8" x14ac:dyDescent="0.3">
      <c r="B18" s="116"/>
      <c r="C18" s="116"/>
      <c r="D18" s="116"/>
      <c r="E18" s="116"/>
      <c r="F18" s="116"/>
      <c r="G18" s="116"/>
      <c r="H18" s="116"/>
    </row>
    <row r="19" spans="2:8" x14ac:dyDescent="0.3">
      <c r="B19" s="116"/>
      <c r="C19" s="116"/>
      <c r="D19" s="116"/>
      <c r="E19" s="116"/>
      <c r="F19" s="116"/>
      <c r="G19" s="116"/>
      <c r="H19" s="116"/>
    </row>
    <row r="20" spans="2:8" x14ac:dyDescent="0.3">
      <c r="B20" s="116"/>
      <c r="C20" s="116"/>
      <c r="D20" s="116"/>
      <c r="E20" s="116"/>
      <c r="F20" s="116"/>
      <c r="G20" s="116"/>
      <c r="H20" s="116"/>
    </row>
    <row r="21" spans="2:8" x14ac:dyDescent="0.3">
      <c r="B21" s="116"/>
      <c r="C21" s="116"/>
      <c r="D21" s="116"/>
      <c r="E21" s="116"/>
      <c r="F21" s="116"/>
      <c r="G21" s="116"/>
      <c r="H21" s="116"/>
    </row>
    <row r="22" spans="2:8" x14ac:dyDescent="0.3">
      <c r="B22" s="116"/>
      <c r="C22" s="116"/>
      <c r="D22" s="116"/>
      <c r="E22" s="116"/>
      <c r="F22" s="116"/>
      <c r="G22" s="116"/>
      <c r="H22" s="116"/>
    </row>
    <row r="23" spans="2:8" x14ac:dyDescent="0.3">
      <c r="B23" s="116"/>
      <c r="C23" s="116"/>
      <c r="D23" s="116"/>
      <c r="E23" s="116"/>
      <c r="F23" s="116"/>
      <c r="G23" s="116"/>
      <c r="H23" s="116"/>
    </row>
    <row r="24" spans="2:8" x14ac:dyDescent="0.3">
      <c r="B24" s="116"/>
      <c r="C24" s="116"/>
      <c r="D24" s="116"/>
      <c r="E24" s="116"/>
      <c r="F24" s="116"/>
      <c r="G24" s="116"/>
      <c r="H24" s="116"/>
    </row>
    <row r="25" spans="2:8" x14ac:dyDescent="0.3">
      <c r="B25" s="116"/>
      <c r="C25" s="116"/>
      <c r="D25" s="116"/>
      <c r="E25" s="116"/>
      <c r="F25" s="116"/>
      <c r="G25" s="116"/>
      <c r="H25" s="116"/>
    </row>
    <row r="26" spans="2:8" x14ac:dyDescent="0.3">
      <c r="B26" s="116"/>
      <c r="C26" s="116"/>
      <c r="D26" s="116"/>
      <c r="E26" s="116"/>
      <c r="F26" s="116"/>
      <c r="G26" s="116"/>
      <c r="H26" s="116"/>
    </row>
    <row r="27" spans="2:8" x14ac:dyDescent="0.3">
      <c r="B27" s="116"/>
      <c r="C27" s="116"/>
      <c r="D27" s="116"/>
      <c r="E27" s="116"/>
      <c r="F27" s="116"/>
      <c r="G27" s="116"/>
      <c r="H27" s="116"/>
    </row>
    <row r="28" spans="2:8" x14ac:dyDescent="0.3">
      <c r="B28" s="116"/>
      <c r="C28" s="116"/>
      <c r="D28" s="116"/>
      <c r="E28" s="116"/>
      <c r="F28" s="116"/>
      <c r="G28" s="116"/>
      <c r="H28" s="116"/>
    </row>
    <row r="29" spans="2:8" x14ac:dyDescent="0.3">
      <c r="B29" s="116"/>
    </row>
    <row r="30" spans="2:8" x14ac:dyDescent="0.3">
      <c r="B30" s="116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Tabelle36"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4.4" x14ac:dyDescent="0.3"/>
  <cols>
    <col min="1" max="1" width="7" style="110" customWidth="1"/>
    <col min="2" max="2" width="3.5546875" style="110" customWidth="1"/>
    <col min="3" max="3" width="40.5546875" style="110" customWidth="1"/>
    <col min="4" max="4" width="35.33203125" style="110" customWidth="1"/>
    <col min="5" max="5" width="11.6640625" style="110" bestFit="1" customWidth="1"/>
    <col min="6" max="6" width="6.44140625" style="110" customWidth="1"/>
    <col min="7" max="7" width="11.6640625" style="110" customWidth="1"/>
    <col min="8" max="8" width="14.109375" style="110" customWidth="1"/>
    <col min="9" max="9" width="4.5546875" style="110" hidden="1" customWidth="1"/>
    <col min="10" max="10" width="11.44140625" style="110"/>
    <col min="11" max="20" width="3" style="110" customWidth="1"/>
    <col min="21" max="16384" width="11.44140625" style="110"/>
  </cols>
  <sheetData>
    <row r="1" spans="1:19" s="109" customFormat="1" ht="45" customHeight="1" x14ac:dyDescent="0.3">
      <c r="A1" s="103"/>
      <c r="B1" s="104" t="str">
        <f ca="1">' '!A584</f>
        <v>Möchten Sie das Programm "Business Plan" öffnen?</v>
      </c>
      <c r="C1" s="103"/>
      <c r="D1" s="103"/>
      <c r="E1" s="103"/>
      <c r="F1" s="105"/>
      <c r="G1" s="106"/>
      <c r="H1" s="107"/>
      <c r="I1" s="103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x14ac:dyDescent="0.3">
      <c r="B2" s="111"/>
    </row>
    <row r="3" spans="1:19" ht="15.6" x14ac:dyDescent="0.3">
      <c r="B3" s="112"/>
    </row>
    <row r="5" spans="1:19" ht="56.25" customHeight="1" x14ac:dyDescent="0.3">
      <c r="B5" s="112"/>
      <c r="D5" s="113" t="str">
        <f ca="1">' '!A585</f>
        <v>Stellen Sie sicher, dass die Datei "04_BusinessPlan.exe" im selben Verzeichnis abgelegt ist!</v>
      </c>
    </row>
    <row r="6" spans="1:19" ht="15.6" x14ac:dyDescent="0.3">
      <c r="B6" s="112"/>
    </row>
    <row r="7" spans="1:19" ht="15.6" x14ac:dyDescent="0.3">
      <c r="B7" s="112"/>
    </row>
    <row r="8" spans="1:19" x14ac:dyDescent="0.3">
      <c r="B8" s="114"/>
    </row>
    <row r="9" spans="1:19" ht="15.6" x14ac:dyDescent="0.3">
      <c r="B9" s="112"/>
    </row>
    <row r="10" spans="1:19" ht="15.6" x14ac:dyDescent="0.3">
      <c r="B10" s="112"/>
    </row>
    <row r="12" spans="1:19" ht="15.6" x14ac:dyDescent="0.3">
      <c r="B12" s="112"/>
      <c r="D12" s="115"/>
    </row>
    <row r="13" spans="1:19" x14ac:dyDescent="0.3">
      <c r="C13" s="115"/>
      <c r="D13" s="116"/>
      <c r="E13" s="116"/>
      <c r="F13" s="116"/>
      <c r="G13" s="116"/>
      <c r="H13" s="116"/>
    </row>
    <row r="14" spans="1:19" x14ac:dyDescent="0.3">
      <c r="B14" s="116"/>
      <c r="C14" s="116"/>
      <c r="D14" s="116"/>
      <c r="E14" s="116"/>
      <c r="F14" s="116"/>
      <c r="G14" s="116"/>
      <c r="H14" s="116"/>
    </row>
    <row r="15" spans="1:19" x14ac:dyDescent="0.3">
      <c r="B15" s="116"/>
      <c r="C15" s="116"/>
      <c r="D15" s="116"/>
      <c r="E15" s="116"/>
      <c r="F15" s="116"/>
      <c r="G15" s="116"/>
      <c r="H15" s="116"/>
    </row>
    <row r="16" spans="1:19" x14ac:dyDescent="0.3">
      <c r="B16" s="116"/>
      <c r="C16" s="116"/>
      <c r="D16" s="116"/>
      <c r="E16" s="116"/>
      <c r="F16" s="116"/>
      <c r="G16" s="116"/>
      <c r="H16" s="116"/>
    </row>
    <row r="17" spans="2:8" x14ac:dyDescent="0.3">
      <c r="B17" s="116"/>
      <c r="C17" s="116"/>
      <c r="D17" s="116"/>
      <c r="E17" s="116"/>
      <c r="F17" s="116"/>
      <c r="G17" s="116"/>
      <c r="H17" s="116"/>
    </row>
    <row r="18" spans="2:8" x14ac:dyDescent="0.3">
      <c r="B18" s="116"/>
      <c r="C18" s="116"/>
      <c r="D18" s="116"/>
      <c r="E18" s="116"/>
      <c r="F18" s="116"/>
      <c r="G18" s="116"/>
      <c r="H18" s="116"/>
    </row>
    <row r="19" spans="2:8" x14ac:dyDescent="0.3">
      <c r="B19" s="116"/>
      <c r="C19" s="116"/>
      <c r="D19" s="116"/>
      <c r="E19" s="116"/>
      <c r="F19" s="116"/>
      <c r="G19" s="116"/>
      <c r="H19" s="116"/>
    </row>
    <row r="20" spans="2:8" x14ac:dyDescent="0.3">
      <c r="B20" s="116"/>
      <c r="C20" s="116"/>
      <c r="D20" s="116"/>
      <c r="E20" s="116"/>
      <c r="F20" s="116"/>
      <c r="G20" s="116"/>
      <c r="H20" s="116"/>
    </row>
    <row r="21" spans="2:8" x14ac:dyDescent="0.3">
      <c r="B21" s="116"/>
      <c r="C21" s="116"/>
      <c r="D21" s="116"/>
      <c r="E21" s="116"/>
      <c r="F21" s="116"/>
      <c r="G21" s="116"/>
      <c r="H21" s="116"/>
    </row>
    <row r="22" spans="2:8" x14ac:dyDescent="0.3">
      <c r="B22" s="116"/>
      <c r="C22" s="116"/>
      <c r="D22" s="116"/>
      <c r="E22" s="116"/>
      <c r="F22" s="116"/>
      <c r="G22" s="116"/>
      <c r="H22" s="116"/>
    </row>
    <row r="23" spans="2:8" x14ac:dyDescent="0.3">
      <c r="B23" s="116"/>
      <c r="C23" s="116"/>
      <c r="D23" s="116"/>
      <c r="E23" s="116"/>
      <c r="F23" s="116"/>
      <c r="G23" s="116"/>
      <c r="H23" s="116"/>
    </row>
    <row r="24" spans="2:8" x14ac:dyDescent="0.3">
      <c r="B24" s="116"/>
      <c r="C24" s="116"/>
      <c r="D24" s="116"/>
      <c r="E24" s="116"/>
      <c r="F24" s="116"/>
      <c r="G24" s="116"/>
      <c r="H24" s="116"/>
    </row>
    <row r="25" spans="2:8" x14ac:dyDescent="0.3">
      <c r="B25" s="116"/>
      <c r="C25" s="116"/>
      <c r="D25" s="116"/>
      <c r="E25" s="116"/>
      <c r="F25" s="116"/>
      <c r="G25" s="116"/>
      <c r="H25" s="116"/>
    </row>
    <row r="26" spans="2:8" x14ac:dyDescent="0.3">
      <c r="B26" s="116"/>
      <c r="C26" s="116"/>
      <c r="D26" s="116"/>
      <c r="E26" s="116"/>
      <c r="F26" s="116"/>
      <c r="G26" s="116"/>
      <c r="H26" s="116"/>
    </row>
    <row r="27" spans="2:8" x14ac:dyDescent="0.3">
      <c r="B27" s="116"/>
      <c r="C27" s="116"/>
      <c r="D27" s="116"/>
      <c r="E27" s="116"/>
      <c r="F27" s="116"/>
      <c r="G27" s="116"/>
      <c r="H27" s="116"/>
    </row>
    <row r="28" spans="2:8" x14ac:dyDescent="0.3">
      <c r="B28" s="116"/>
      <c r="C28" s="116"/>
      <c r="D28" s="116"/>
      <c r="E28" s="116"/>
      <c r="F28" s="116"/>
      <c r="G28" s="116"/>
      <c r="H28" s="116"/>
    </row>
    <row r="29" spans="2:8" x14ac:dyDescent="0.3">
      <c r="B29" s="116"/>
    </row>
    <row r="30" spans="2:8" x14ac:dyDescent="0.3">
      <c r="B30" s="116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4.4" x14ac:dyDescent="0.3"/>
  <cols>
    <col min="1" max="1" width="7" style="110" customWidth="1"/>
    <col min="2" max="2" width="3.5546875" style="110" customWidth="1"/>
    <col min="3" max="3" width="40.5546875" style="110" customWidth="1"/>
    <col min="4" max="4" width="35.33203125" style="110" customWidth="1"/>
    <col min="5" max="5" width="11.6640625" style="110" bestFit="1" customWidth="1"/>
    <col min="6" max="6" width="6.44140625" style="110" customWidth="1"/>
    <col min="7" max="7" width="11.6640625" style="110" customWidth="1"/>
    <col min="8" max="8" width="14.109375" style="110" customWidth="1"/>
    <col min="9" max="9" width="4.5546875" style="110" hidden="1" customWidth="1"/>
    <col min="10" max="10" width="11.44140625" style="110"/>
    <col min="11" max="20" width="3" style="110" customWidth="1"/>
    <col min="21" max="16384" width="11.44140625" style="110"/>
  </cols>
  <sheetData>
    <row r="1" spans="1:19" s="109" customFormat="1" ht="45" customHeight="1" x14ac:dyDescent="0.3">
      <c r="A1" s="103"/>
      <c r="B1" s="104" t="str">
        <f ca="1">' '!A586</f>
        <v>Möchten Sie das Programm "Balanced Scorecard" öffnen?</v>
      </c>
      <c r="C1" s="103"/>
      <c r="D1" s="103"/>
      <c r="E1" s="103"/>
      <c r="F1" s="105"/>
      <c r="G1" s="106"/>
      <c r="H1" s="107"/>
      <c r="I1" s="103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x14ac:dyDescent="0.3">
      <c r="B2" s="111"/>
    </row>
    <row r="3" spans="1:19" ht="15.6" x14ac:dyDescent="0.3">
      <c r="B3" s="112"/>
    </row>
    <row r="5" spans="1:19" ht="56.25" customHeight="1" x14ac:dyDescent="0.3">
      <c r="B5" s="112"/>
      <c r="D5" s="113" t="str">
        <f ca="1">' '!A587</f>
        <v>Stellen Sie sicher, dass die Datei "01_Cockpit.exe" im selben Verzeichnis abgelegt ist!</v>
      </c>
    </row>
    <row r="6" spans="1:19" ht="15.6" x14ac:dyDescent="0.3">
      <c r="B6" s="112"/>
    </row>
    <row r="7" spans="1:19" ht="15.6" x14ac:dyDescent="0.3">
      <c r="B7" s="112"/>
    </row>
    <row r="8" spans="1:19" x14ac:dyDescent="0.3">
      <c r="B8" s="114"/>
    </row>
    <row r="9" spans="1:19" ht="15.6" x14ac:dyDescent="0.3">
      <c r="B9" s="112"/>
    </row>
    <row r="10" spans="1:19" ht="15.6" x14ac:dyDescent="0.3">
      <c r="B10" s="112"/>
    </row>
    <row r="12" spans="1:19" ht="15.6" x14ac:dyDescent="0.3">
      <c r="B12" s="112"/>
      <c r="D12" s="115"/>
    </row>
    <row r="13" spans="1:19" x14ac:dyDescent="0.3">
      <c r="C13" s="115"/>
      <c r="D13" s="116"/>
      <c r="E13" s="116"/>
      <c r="F13" s="116"/>
      <c r="G13" s="116"/>
      <c r="H13" s="116"/>
    </row>
    <row r="14" spans="1:19" x14ac:dyDescent="0.3">
      <c r="B14" s="116"/>
      <c r="C14" s="116"/>
      <c r="D14" s="116"/>
      <c r="E14" s="116"/>
      <c r="F14" s="116"/>
      <c r="G14" s="116"/>
      <c r="H14" s="116"/>
    </row>
    <row r="15" spans="1:19" x14ac:dyDescent="0.3">
      <c r="B15" s="116"/>
      <c r="C15" s="116"/>
      <c r="D15" s="116"/>
      <c r="E15" s="116"/>
      <c r="F15" s="116"/>
      <c r="G15" s="116"/>
      <c r="H15" s="116"/>
    </row>
    <row r="16" spans="1:19" x14ac:dyDescent="0.3">
      <c r="B16" s="116"/>
      <c r="C16" s="116"/>
      <c r="D16" s="116"/>
      <c r="E16" s="116"/>
      <c r="F16" s="116"/>
      <c r="G16" s="116"/>
      <c r="H16" s="116"/>
    </row>
    <row r="17" spans="2:8" x14ac:dyDescent="0.3">
      <c r="B17" s="116"/>
      <c r="C17" s="116"/>
      <c r="D17" s="116"/>
      <c r="E17" s="116"/>
      <c r="F17" s="116"/>
      <c r="G17" s="116"/>
      <c r="H17" s="116"/>
    </row>
    <row r="18" spans="2:8" x14ac:dyDescent="0.3">
      <c r="B18" s="116"/>
      <c r="C18" s="116"/>
      <c r="D18" s="116"/>
      <c r="E18" s="116"/>
      <c r="F18" s="116"/>
      <c r="G18" s="116"/>
      <c r="H18" s="116"/>
    </row>
    <row r="19" spans="2:8" x14ac:dyDescent="0.3">
      <c r="B19" s="116"/>
      <c r="C19" s="116"/>
      <c r="D19" s="116"/>
      <c r="E19" s="116"/>
      <c r="F19" s="116"/>
      <c r="G19" s="116"/>
      <c r="H19" s="116"/>
    </row>
    <row r="20" spans="2:8" x14ac:dyDescent="0.3">
      <c r="B20" s="116"/>
      <c r="C20" s="116"/>
      <c r="D20" s="116"/>
      <c r="E20" s="116"/>
      <c r="F20" s="116"/>
      <c r="G20" s="116"/>
      <c r="H20" s="116"/>
    </row>
    <row r="21" spans="2:8" x14ac:dyDescent="0.3">
      <c r="B21" s="116"/>
      <c r="C21" s="116"/>
      <c r="D21" s="116"/>
      <c r="E21" s="116"/>
      <c r="F21" s="116"/>
      <c r="G21" s="116"/>
      <c r="H21" s="116"/>
    </row>
    <row r="22" spans="2:8" x14ac:dyDescent="0.3">
      <c r="B22" s="116"/>
      <c r="C22" s="116"/>
      <c r="D22" s="116"/>
      <c r="E22" s="116"/>
      <c r="F22" s="116"/>
      <c r="G22" s="116"/>
      <c r="H22" s="116"/>
    </row>
    <row r="23" spans="2:8" x14ac:dyDescent="0.3">
      <c r="B23" s="116"/>
      <c r="C23" s="116"/>
      <c r="D23" s="116"/>
      <c r="E23" s="116"/>
      <c r="F23" s="116"/>
      <c r="G23" s="116"/>
      <c r="H23" s="116"/>
    </row>
    <row r="24" spans="2:8" x14ac:dyDescent="0.3">
      <c r="B24" s="116"/>
      <c r="C24" s="116"/>
      <c r="D24" s="116"/>
      <c r="E24" s="116"/>
      <c r="F24" s="116"/>
      <c r="G24" s="116"/>
      <c r="H24" s="116"/>
    </row>
    <row r="25" spans="2:8" x14ac:dyDescent="0.3">
      <c r="B25" s="116"/>
      <c r="C25" s="116"/>
      <c r="D25" s="116"/>
      <c r="E25" s="116"/>
      <c r="F25" s="116"/>
      <c r="G25" s="116"/>
      <c r="H25" s="116"/>
    </row>
    <row r="26" spans="2:8" x14ac:dyDescent="0.3">
      <c r="B26" s="116"/>
      <c r="C26" s="116"/>
      <c r="D26" s="116"/>
      <c r="E26" s="116"/>
      <c r="F26" s="116"/>
      <c r="G26" s="116"/>
      <c r="H26" s="116"/>
    </row>
    <row r="27" spans="2:8" x14ac:dyDescent="0.3">
      <c r="B27" s="116"/>
      <c r="C27" s="116"/>
      <c r="D27" s="116"/>
      <c r="E27" s="116"/>
      <c r="F27" s="116"/>
      <c r="G27" s="116"/>
      <c r="H27" s="116"/>
    </row>
    <row r="28" spans="2:8" x14ac:dyDescent="0.3">
      <c r="B28" s="116"/>
      <c r="C28" s="116"/>
      <c r="D28" s="116"/>
      <c r="E28" s="116"/>
      <c r="F28" s="116"/>
      <c r="G28" s="116"/>
      <c r="H28" s="116"/>
    </row>
    <row r="29" spans="2:8" x14ac:dyDescent="0.3">
      <c r="B29" s="116"/>
    </row>
    <row r="30" spans="2:8" x14ac:dyDescent="0.3">
      <c r="B30" s="116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4.4" x14ac:dyDescent="0.3"/>
  <cols>
    <col min="1" max="1" width="7" style="110" customWidth="1"/>
    <col min="2" max="2" width="3.5546875" style="110" customWidth="1"/>
    <col min="3" max="3" width="40.5546875" style="110" customWidth="1"/>
    <col min="4" max="4" width="35.33203125" style="110" customWidth="1"/>
    <col min="5" max="5" width="11.6640625" style="110" bestFit="1" customWidth="1"/>
    <col min="6" max="6" width="6.44140625" style="110" customWidth="1"/>
    <col min="7" max="7" width="11.6640625" style="110" customWidth="1"/>
    <col min="8" max="8" width="14.109375" style="110" customWidth="1"/>
    <col min="9" max="9" width="4.5546875" style="110" hidden="1" customWidth="1"/>
    <col min="10" max="10" width="11.44140625" style="110"/>
    <col min="11" max="20" width="3" style="110" customWidth="1"/>
    <col min="21" max="16384" width="11.44140625" style="110"/>
  </cols>
  <sheetData>
    <row r="1" spans="1:19" s="109" customFormat="1" ht="45" customHeight="1" x14ac:dyDescent="0.3">
      <c r="A1" s="103"/>
      <c r="B1" s="104" t="str">
        <f ca="1">' '!A588</f>
        <v>Möchten Sie das Programm "Projektmanagement" öffnen?</v>
      </c>
      <c r="C1" s="103"/>
      <c r="D1" s="103"/>
      <c r="E1" s="103"/>
      <c r="F1" s="105"/>
      <c r="G1" s="106"/>
      <c r="H1" s="107"/>
      <c r="I1" s="103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x14ac:dyDescent="0.3">
      <c r="B2" s="111"/>
    </row>
    <row r="3" spans="1:19" ht="15.6" x14ac:dyDescent="0.3">
      <c r="B3" s="112"/>
    </row>
    <row r="5" spans="1:19" ht="56.25" customHeight="1" x14ac:dyDescent="0.3">
      <c r="B5" s="112"/>
      <c r="D5" s="113" t="str">
        <f ca="1">' '!A589</f>
        <v>Stellen Sie sicher, dass die Datei "03_ProjectManagement.exe" im selben Verzeichnis abgelegt ist!</v>
      </c>
    </row>
    <row r="6" spans="1:19" ht="15.6" x14ac:dyDescent="0.3">
      <c r="B6" s="112"/>
    </row>
    <row r="7" spans="1:19" ht="15.6" x14ac:dyDescent="0.3">
      <c r="B7" s="112"/>
    </row>
    <row r="8" spans="1:19" x14ac:dyDescent="0.3">
      <c r="B8" s="114"/>
    </row>
    <row r="9" spans="1:19" ht="15.6" x14ac:dyDescent="0.3">
      <c r="B9" s="112"/>
    </row>
    <row r="10" spans="1:19" ht="15.6" x14ac:dyDescent="0.3">
      <c r="B10" s="112"/>
    </row>
    <row r="12" spans="1:19" ht="15.6" x14ac:dyDescent="0.3">
      <c r="B12" s="112"/>
      <c r="D12" s="115"/>
    </row>
    <row r="13" spans="1:19" x14ac:dyDescent="0.3">
      <c r="C13" s="115"/>
      <c r="D13" s="116"/>
      <c r="E13" s="116"/>
      <c r="F13" s="116"/>
      <c r="G13" s="116"/>
      <c r="H13" s="116"/>
    </row>
    <row r="14" spans="1:19" x14ac:dyDescent="0.3">
      <c r="B14" s="116"/>
      <c r="C14" s="116"/>
      <c r="D14" s="116"/>
      <c r="E14" s="116"/>
      <c r="F14" s="116"/>
      <c r="G14" s="116"/>
      <c r="H14" s="116"/>
    </row>
    <row r="15" spans="1:19" x14ac:dyDescent="0.3">
      <c r="B15" s="116"/>
      <c r="C15" s="116"/>
      <c r="D15" s="116"/>
      <c r="E15" s="116"/>
      <c r="F15" s="116"/>
      <c r="G15" s="116"/>
      <c r="H15" s="116"/>
    </row>
    <row r="16" spans="1:19" x14ac:dyDescent="0.3">
      <c r="B16" s="116"/>
      <c r="C16" s="116"/>
      <c r="D16" s="116"/>
      <c r="E16" s="116"/>
      <c r="F16" s="116"/>
      <c r="G16" s="116"/>
      <c r="H16" s="116"/>
    </row>
    <row r="17" spans="2:8" x14ac:dyDescent="0.3">
      <c r="B17" s="116"/>
      <c r="C17" s="116"/>
      <c r="D17" s="116"/>
      <c r="E17" s="116"/>
      <c r="F17" s="116"/>
      <c r="G17" s="116"/>
      <c r="H17" s="116"/>
    </row>
    <row r="18" spans="2:8" x14ac:dyDescent="0.3">
      <c r="B18" s="116"/>
      <c r="C18" s="116"/>
      <c r="D18" s="116"/>
      <c r="E18" s="116"/>
      <c r="F18" s="116"/>
      <c r="G18" s="116"/>
      <c r="H18" s="116"/>
    </row>
    <row r="19" spans="2:8" x14ac:dyDescent="0.3">
      <c r="B19" s="116"/>
      <c r="C19" s="116"/>
      <c r="D19" s="116"/>
      <c r="E19" s="116"/>
      <c r="F19" s="116"/>
      <c r="G19" s="116"/>
      <c r="H19" s="116"/>
    </row>
    <row r="20" spans="2:8" x14ac:dyDescent="0.3">
      <c r="B20" s="116"/>
      <c r="C20" s="116"/>
      <c r="D20" s="116"/>
      <c r="E20" s="116"/>
      <c r="F20" s="116"/>
      <c r="G20" s="116"/>
      <c r="H20" s="116"/>
    </row>
    <row r="21" spans="2:8" x14ac:dyDescent="0.3">
      <c r="B21" s="116"/>
      <c r="C21" s="116"/>
      <c r="D21" s="116"/>
      <c r="E21" s="116"/>
      <c r="F21" s="116"/>
      <c r="G21" s="116"/>
      <c r="H21" s="116"/>
    </row>
    <row r="22" spans="2:8" x14ac:dyDescent="0.3">
      <c r="B22" s="116"/>
      <c r="C22" s="116"/>
      <c r="D22" s="116"/>
      <c r="E22" s="116"/>
      <c r="F22" s="116"/>
      <c r="G22" s="116"/>
      <c r="H22" s="116"/>
    </row>
    <row r="23" spans="2:8" x14ac:dyDescent="0.3">
      <c r="B23" s="116"/>
      <c r="C23" s="116"/>
      <c r="D23" s="116"/>
      <c r="E23" s="116"/>
      <c r="F23" s="116"/>
      <c r="G23" s="116"/>
      <c r="H23" s="116"/>
    </row>
    <row r="24" spans="2:8" x14ac:dyDescent="0.3">
      <c r="B24" s="116"/>
      <c r="C24" s="116"/>
      <c r="D24" s="116"/>
      <c r="E24" s="116"/>
      <c r="F24" s="116"/>
      <c r="G24" s="116"/>
      <c r="H24" s="116"/>
    </row>
    <row r="25" spans="2:8" x14ac:dyDescent="0.3">
      <c r="B25" s="116"/>
      <c r="C25" s="116"/>
      <c r="D25" s="116"/>
      <c r="E25" s="116"/>
      <c r="F25" s="116"/>
      <c r="G25" s="116"/>
      <c r="H25" s="116"/>
    </row>
    <row r="26" spans="2:8" x14ac:dyDescent="0.3">
      <c r="B26" s="116"/>
      <c r="C26" s="116"/>
      <c r="D26" s="116"/>
      <c r="E26" s="116"/>
      <c r="F26" s="116"/>
      <c r="G26" s="116"/>
      <c r="H26" s="116"/>
    </row>
    <row r="27" spans="2:8" x14ac:dyDescent="0.3">
      <c r="B27" s="116"/>
      <c r="C27" s="116"/>
      <c r="D27" s="116"/>
      <c r="E27" s="116"/>
      <c r="F27" s="116"/>
      <c r="G27" s="116"/>
      <c r="H27" s="116"/>
    </row>
    <row r="28" spans="2:8" x14ac:dyDescent="0.3">
      <c r="B28" s="116"/>
      <c r="C28" s="116"/>
      <c r="D28" s="116"/>
      <c r="E28" s="116"/>
      <c r="F28" s="116"/>
      <c r="G28" s="116"/>
      <c r="H28" s="116"/>
    </row>
    <row r="29" spans="2:8" x14ac:dyDescent="0.3">
      <c r="B29" s="116"/>
    </row>
    <row r="30" spans="2:8" x14ac:dyDescent="0.3">
      <c r="B30" s="116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0" tint="-0.249977111117893"/>
  </sheetPr>
  <dimension ref="A1:R964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3.8" x14ac:dyDescent="0.3"/>
  <cols>
    <col min="1" max="1" width="0.109375" style="79" customWidth="1"/>
    <col min="2" max="2" width="6.44140625" style="66" customWidth="1"/>
    <col min="3" max="3" width="4.44140625" style="66" customWidth="1"/>
    <col min="4" max="4" width="49.44140625" style="66" customWidth="1"/>
    <col min="5" max="5" width="51.44140625" style="66" customWidth="1"/>
    <col min="6" max="6" width="4" style="66" customWidth="1"/>
    <col min="7" max="16384" width="11.44140625" style="66"/>
  </cols>
  <sheetData>
    <row r="1" spans="1:18" s="80" customFormat="1" ht="45" customHeight="1" x14ac:dyDescent="0.3">
      <c r="A1" s="79"/>
      <c r="C1" s="81" t="str">
        <f ca="1">' '!A362</f>
        <v>S T R A T E G I S C H E   I N D I K A T O R E N</v>
      </c>
      <c r="D1" s="81"/>
      <c r="E1" s="81"/>
      <c r="F1" s="82"/>
      <c r="G1" s="83"/>
      <c r="H1" s="84"/>
      <c r="O1" s="85"/>
      <c r="P1" s="85"/>
      <c r="Q1" s="85"/>
      <c r="R1" s="85"/>
    </row>
    <row r="2" spans="1:18" ht="5.25" customHeight="1" x14ac:dyDescent="0.3">
      <c r="A2" s="86"/>
      <c r="D2" s="88"/>
      <c r="O2" s="85"/>
      <c r="P2" s="85"/>
      <c r="Q2" s="85"/>
      <c r="R2" s="85"/>
    </row>
    <row r="3" spans="1:18" ht="18" customHeight="1" x14ac:dyDescent="0.3">
      <c r="A3" s="89"/>
      <c r="C3" s="87"/>
    </row>
    <row r="4" spans="1:18" ht="4.5" customHeight="1" x14ac:dyDescent="0.3">
      <c r="A4" s="90"/>
      <c r="D4" s="91"/>
    </row>
    <row r="5" spans="1:18" ht="24" customHeight="1" x14ac:dyDescent="0.3">
      <c r="A5" s="90"/>
      <c r="C5" s="98" t="s">
        <v>371</v>
      </c>
      <c r="D5" s="99" t="str">
        <f>_o1</f>
        <v>Indikator 1</v>
      </c>
      <c r="E5" s="100"/>
      <c r="F5" s="100"/>
    </row>
    <row r="6" spans="1:18" ht="4.5" customHeight="1" x14ac:dyDescent="0.3">
      <c r="A6" s="90"/>
    </row>
    <row r="7" spans="1:18" x14ac:dyDescent="0.3">
      <c r="A7" s="90"/>
      <c r="C7" s="101"/>
      <c r="D7" s="101" t="str">
        <f ca="1">' '!$A$364</f>
        <v>Beschreibung/Bemerkungen</v>
      </c>
      <c r="E7" s="101"/>
      <c r="F7" s="101"/>
    </row>
    <row r="8" spans="1:18" ht="51" customHeight="1" x14ac:dyDescent="0.3">
      <c r="A8" s="90"/>
      <c r="C8" s="1121"/>
      <c r="D8" s="1121"/>
      <c r="E8" s="1121"/>
      <c r="F8" s="1121"/>
    </row>
    <row r="9" spans="1:18" x14ac:dyDescent="0.3">
      <c r="A9" s="90"/>
      <c r="C9" s="101"/>
      <c r="D9" s="101" t="str">
        <f ca="1">' '!$A$363</f>
        <v>Berechnung</v>
      </c>
      <c r="E9" s="101"/>
      <c r="F9" s="101"/>
    </row>
    <row r="10" spans="1:18" ht="57.9" customHeight="1" x14ac:dyDescent="0.3">
      <c r="A10" s="90"/>
      <c r="C10" s="1121"/>
      <c r="D10" s="1121"/>
      <c r="E10" s="1121" t="s">
        <v>695</v>
      </c>
      <c r="F10" s="1121"/>
    </row>
    <row r="11" spans="1:18" x14ac:dyDescent="0.3">
      <c r="A11" s="90"/>
      <c r="C11" s="101"/>
      <c r="D11" s="102" t="str">
        <f ca="1">' '!$A$365</f>
        <v>Quelle</v>
      </c>
      <c r="E11" s="101" t="str">
        <f ca="1">' '!$A$366</f>
        <v>Erhebungszeitpunkt &amp; Branchenvergleich</v>
      </c>
      <c r="F11" s="101"/>
    </row>
    <row r="12" spans="1:18" x14ac:dyDescent="0.3">
      <c r="A12" s="90"/>
      <c r="C12" s="1122"/>
      <c r="D12" s="1123"/>
      <c r="E12" s="1122"/>
      <c r="F12" s="1123"/>
    </row>
    <row r="13" spans="1:18" x14ac:dyDescent="0.3">
      <c r="A13" s="90"/>
      <c r="C13" s="1122"/>
      <c r="D13" s="1123"/>
      <c r="E13" s="1122"/>
      <c r="F13" s="1123"/>
    </row>
    <row r="14" spans="1:18" x14ac:dyDescent="0.3">
      <c r="A14" s="90"/>
      <c r="C14" s="1122"/>
      <c r="D14" s="1123"/>
      <c r="E14" s="1122"/>
      <c r="F14" s="1123"/>
    </row>
    <row r="15" spans="1:18" ht="5.4" customHeight="1" x14ac:dyDescent="0.3">
      <c r="A15" s="90"/>
      <c r="C15" s="101"/>
      <c r="D15" s="101"/>
      <c r="E15" s="101"/>
      <c r="F15" s="101"/>
    </row>
    <row r="16" spans="1:18" ht="8.4" customHeight="1" x14ac:dyDescent="0.3">
      <c r="A16" s="90"/>
      <c r="D16" s="91"/>
    </row>
    <row r="17" spans="1:6" ht="24" customHeight="1" x14ac:dyDescent="0.3">
      <c r="A17" s="90"/>
      <c r="C17" s="98" t="s">
        <v>373</v>
      </c>
      <c r="D17" s="99">
        <f>_o2</f>
        <v>0</v>
      </c>
      <c r="E17" s="100"/>
      <c r="F17" s="100"/>
    </row>
    <row r="18" spans="1:6" x14ac:dyDescent="0.3">
      <c r="A18" s="90"/>
    </row>
    <row r="19" spans="1:6" x14ac:dyDescent="0.3">
      <c r="A19" s="90"/>
      <c r="C19" s="101"/>
      <c r="D19" s="101" t="str">
        <f ca="1">' '!$A$364</f>
        <v>Beschreibung/Bemerkungen</v>
      </c>
      <c r="E19" s="101"/>
      <c r="F19" s="101"/>
    </row>
    <row r="20" spans="1:6" x14ac:dyDescent="0.3">
      <c r="A20" s="90"/>
      <c r="C20" s="1121"/>
      <c r="D20" s="1121"/>
      <c r="E20" s="1121"/>
      <c r="F20" s="1121"/>
    </row>
    <row r="21" spans="1:6" x14ac:dyDescent="0.3">
      <c r="A21" s="90"/>
      <c r="C21" s="101"/>
      <c r="D21" s="101" t="str">
        <f ca="1">' '!$A$363</f>
        <v>Berechnung</v>
      </c>
      <c r="E21" s="101"/>
      <c r="F21" s="101"/>
    </row>
    <row r="22" spans="1:6" x14ac:dyDescent="0.3">
      <c r="A22" s="90"/>
      <c r="C22" s="1121"/>
      <c r="D22" s="1121"/>
      <c r="E22" s="1121" t="s">
        <v>695</v>
      </c>
      <c r="F22" s="1121"/>
    </row>
    <row r="23" spans="1:6" x14ac:dyDescent="0.3">
      <c r="A23" s="90"/>
      <c r="C23" s="101"/>
      <c r="D23" s="102" t="str">
        <f ca="1">' '!$A$365</f>
        <v>Quelle</v>
      </c>
      <c r="E23" s="101" t="str">
        <f ca="1">' '!$A$366</f>
        <v>Erhebungszeitpunkt &amp; Branchenvergleich</v>
      </c>
      <c r="F23" s="101"/>
    </row>
    <row r="24" spans="1:6" x14ac:dyDescent="0.3">
      <c r="A24" s="90"/>
      <c r="C24" s="1122"/>
      <c r="D24" s="1123"/>
      <c r="E24" s="1122"/>
      <c r="F24" s="1123"/>
    </row>
    <row r="25" spans="1:6" x14ac:dyDescent="0.3">
      <c r="A25" s="90"/>
      <c r="C25" s="1122"/>
      <c r="D25" s="1123"/>
      <c r="E25" s="1122"/>
      <c r="F25" s="1123"/>
    </row>
    <row r="26" spans="1:6" x14ac:dyDescent="0.3">
      <c r="A26" s="90"/>
      <c r="C26" s="1122"/>
      <c r="D26" s="1123"/>
      <c r="E26" s="1122"/>
      <c r="F26" s="1123"/>
    </row>
    <row r="27" spans="1:6" x14ac:dyDescent="0.3">
      <c r="A27" s="90"/>
      <c r="C27" s="101"/>
      <c r="D27" s="101"/>
      <c r="E27" s="101"/>
      <c r="F27" s="101"/>
    </row>
    <row r="28" spans="1:6" ht="15.6" x14ac:dyDescent="0.3">
      <c r="A28" s="90"/>
      <c r="D28" s="91"/>
    </row>
    <row r="29" spans="1:6" ht="24" customHeight="1" x14ac:dyDescent="0.3">
      <c r="A29" s="90"/>
      <c r="C29" s="98" t="s">
        <v>375</v>
      </c>
      <c r="D29" s="99">
        <f>_o3</f>
        <v>0</v>
      </c>
      <c r="E29" s="100"/>
      <c r="F29" s="100"/>
    </row>
    <row r="30" spans="1:6" x14ac:dyDescent="0.3">
      <c r="A30" s="90"/>
    </row>
    <row r="31" spans="1:6" x14ac:dyDescent="0.3">
      <c r="A31" s="90"/>
      <c r="C31" s="101"/>
      <c r="D31" s="101" t="str">
        <f ca="1">' '!$A$364</f>
        <v>Beschreibung/Bemerkungen</v>
      </c>
      <c r="E31" s="101"/>
      <c r="F31" s="101"/>
    </row>
    <row r="32" spans="1:6" x14ac:dyDescent="0.3">
      <c r="A32" s="90"/>
      <c r="C32" s="1121"/>
      <c r="D32" s="1121"/>
      <c r="E32" s="1121"/>
      <c r="F32" s="1121"/>
    </row>
    <row r="33" spans="1:6" x14ac:dyDescent="0.3">
      <c r="A33" s="90"/>
      <c r="C33" s="101"/>
      <c r="D33" s="101" t="str">
        <f ca="1">' '!$A$363</f>
        <v>Berechnung</v>
      </c>
      <c r="E33" s="101"/>
      <c r="F33" s="101"/>
    </row>
    <row r="34" spans="1:6" x14ac:dyDescent="0.3">
      <c r="A34" s="90"/>
      <c r="C34" s="1121"/>
      <c r="D34" s="1121"/>
      <c r="E34" s="1121" t="s">
        <v>695</v>
      </c>
      <c r="F34" s="1121"/>
    </row>
    <row r="35" spans="1:6" x14ac:dyDescent="0.3">
      <c r="A35" s="90"/>
      <c r="C35" s="101"/>
      <c r="D35" s="102" t="str">
        <f ca="1">' '!$A$365</f>
        <v>Quelle</v>
      </c>
      <c r="E35" s="101" t="str">
        <f ca="1">' '!$A$366</f>
        <v>Erhebungszeitpunkt &amp; Branchenvergleich</v>
      </c>
      <c r="F35" s="101"/>
    </row>
    <row r="36" spans="1:6" x14ac:dyDescent="0.3">
      <c r="A36" s="90"/>
      <c r="C36" s="1122"/>
      <c r="D36" s="1123"/>
      <c r="E36" s="1122"/>
      <c r="F36" s="1123"/>
    </row>
    <row r="37" spans="1:6" x14ac:dyDescent="0.3">
      <c r="A37" s="90"/>
      <c r="C37" s="1122"/>
      <c r="D37" s="1123"/>
      <c r="E37" s="1122"/>
      <c r="F37" s="1123"/>
    </row>
    <row r="38" spans="1:6" x14ac:dyDescent="0.3">
      <c r="A38" s="90"/>
      <c r="C38" s="1122"/>
      <c r="D38" s="1123"/>
      <c r="E38" s="1122"/>
      <c r="F38" s="1123"/>
    </row>
    <row r="39" spans="1:6" x14ac:dyDescent="0.3">
      <c r="A39" s="90"/>
      <c r="C39" s="101"/>
      <c r="D39" s="101"/>
      <c r="E39" s="101"/>
      <c r="F39" s="101"/>
    </row>
    <row r="40" spans="1:6" ht="15.6" x14ac:dyDescent="0.3">
      <c r="A40" s="90"/>
      <c r="D40" s="91"/>
    </row>
    <row r="41" spans="1:6" ht="24" customHeight="1" x14ac:dyDescent="0.3">
      <c r="A41" s="90"/>
      <c r="C41" s="98" t="s">
        <v>377</v>
      </c>
      <c r="D41" s="99">
        <f>_o4</f>
        <v>0</v>
      </c>
      <c r="E41" s="100"/>
      <c r="F41" s="100"/>
    </row>
    <row r="42" spans="1:6" x14ac:dyDescent="0.3">
      <c r="A42" s="90"/>
    </row>
    <row r="43" spans="1:6" x14ac:dyDescent="0.3">
      <c r="A43" s="90"/>
      <c r="C43" s="101"/>
      <c r="D43" s="101" t="str">
        <f ca="1">' '!$A$364</f>
        <v>Beschreibung/Bemerkungen</v>
      </c>
      <c r="E43" s="101"/>
      <c r="F43" s="101"/>
    </row>
    <row r="44" spans="1:6" x14ac:dyDescent="0.3">
      <c r="A44" s="90"/>
      <c r="C44" s="1121"/>
      <c r="D44" s="1121"/>
      <c r="E44" s="1121"/>
      <c r="F44" s="1121"/>
    </row>
    <row r="45" spans="1:6" x14ac:dyDescent="0.3">
      <c r="A45" s="90"/>
      <c r="C45" s="101"/>
      <c r="D45" s="101" t="str">
        <f ca="1">' '!$A$363</f>
        <v>Berechnung</v>
      </c>
      <c r="E45" s="101"/>
      <c r="F45" s="101"/>
    </row>
    <row r="46" spans="1:6" x14ac:dyDescent="0.3">
      <c r="A46" s="90"/>
      <c r="C46" s="1121"/>
      <c r="D46" s="1121"/>
      <c r="E46" s="1121" t="s">
        <v>695</v>
      </c>
      <c r="F46" s="1121"/>
    </row>
    <row r="47" spans="1:6" x14ac:dyDescent="0.3">
      <c r="A47" s="90"/>
      <c r="C47" s="101"/>
      <c r="D47" s="102" t="str">
        <f ca="1">' '!$A$365</f>
        <v>Quelle</v>
      </c>
      <c r="E47" s="101" t="str">
        <f ca="1">' '!$A$366</f>
        <v>Erhebungszeitpunkt &amp; Branchenvergleich</v>
      </c>
      <c r="F47" s="101"/>
    </row>
    <row r="48" spans="1:6" x14ac:dyDescent="0.3">
      <c r="A48" s="90"/>
      <c r="C48" s="1122"/>
      <c r="D48" s="1123"/>
      <c r="E48" s="1122"/>
      <c r="F48" s="1123"/>
    </row>
    <row r="49" spans="1:6" x14ac:dyDescent="0.3">
      <c r="A49" s="90"/>
      <c r="C49" s="1122"/>
      <c r="D49" s="1123"/>
      <c r="E49" s="1122"/>
      <c r="F49" s="1123"/>
    </row>
    <row r="50" spans="1:6" x14ac:dyDescent="0.3">
      <c r="A50" s="90"/>
      <c r="C50" s="1122"/>
      <c r="D50" s="1123"/>
      <c r="E50" s="1122"/>
      <c r="F50" s="1123"/>
    </row>
    <row r="51" spans="1:6" x14ac:dyDescent="0.3">
      <c r="A51" s="90"/>
      <c r="C51" s="101"/>
      <c r="D51" s="101"/>
      <c r="E51" s="101"/>
      <c r="F51" s="101"/>
    </row>
    <row r="52" spans="1:6" ht="15.6" x14ac:dyDescent="0.3">
      <c r="A52" s="90"/>
      <c r="D52" s="91"/>
    </row>
    <row r="53" spans="1:6" ht="24" customHeight="1" x14ac:dyDescent="0.3">
      <c r="A53" s="90"/>
      <c r="C53" s="98" t="s">
        <v>379</v>
      </c>
      <c r="D53" s="99">
        <f>_o5</f>
        <v>0</v>
      </c>
      <c r="E53" s="100"/>
      <c r="F53" s="100"/>
    </row>
    <row r="54" spans="1:6" x14ac:dyDescent="0.3">
      <c r="A54" s="90"/>
    </row>
    <row r="55" spans="1:6" x14ac:dyDescent="0.3">
      <c r="A55" s="90"/>
      <c r="C55" s="101"/>
      <c r="D55" s="101" t="str">
        <f ca="1">' '!$A$364</f>
        <v>Beschreibung/Bemerkungen</v>
      </c>
      <c r="E55" s="101"/>
      <c r="F55" s="101"/>
    </row>
    <row r="56" spans="1:6" x14ac:dyDescent="0.3">
      <c r="A56" s="90"/>
      <c r="C56" s="1121"/>
      <c r="D56" s="1121"/>
      <c r="E56" s="1121"/>
      <c r="F56" s="1121"/>
    </row>
    <row r="57" spans="1:6" x14ac:dyDescent="0.3">
      <c r="A57" s="90"/>
      <c r="C57" s="101"/>
      <c r="D57" s="101" t="str">
        <f ca="1">' '!$A$363</f>
        <v>Berechnung</v>
      </c>
      <c r="E57" s="101"/>
      <c r="F57" s="101"/>
    </row>
    <row r="58" spans="1:6" x14ac:dyDescent="0.3">
      <c r="A58" s="90"/>
      <c r="C58" s="1121"/>
      <c r="D58" s="1121"/>
      <c r="E58" s="1121" t="s">
        <v>695</v>
      </c>
      <c r="F58" s="1121"/>
    </row>
    <row r="59" spans="1:6" x14ac:dyDescent="0.3">
      <c r="A59" s="90"/>
      <c r="C59" s="101"/>
      <c r="D59" s="102" t="str">
        <f ca="1">' '!$A$365</f>
        <v>Quelle</v>
      </c>
      <c r="E59" s="101" t="str">
        <f ca="1">' '!$A$366</f>
        <v>Erhebungszeitpunkt &amp; Branchenvergleich</v>
      </c>
      <c r="F59" s="101"/>
    </row>
    <row r="60" spans="1:6" x14ac:dyDescent="0.3">
      <c r="A60" s="90"/>
      <c r="C60" s="1122"/>
      <c r="D60" s="1123"/>
      <c r="E60" s="1122"/>
      <c r="F60" s="1123"/>
    </row>
    <row r="61" spans="1:6" x14ac:dyDescent="0.3">
      <c r="A61" s="90"/>
      <c r="C61" s="1122"/>
      <c r="D61" s="1123"/>
      <c r="E61" s="1122"/>
      <c r="F61" s="1123"/>
    </row>
    <row r="62" spans="1:6" x14ac:dyDescent="0.3">
      <c r="A62" s="90"/>
      <c r="C62" s="1122"/>
      <c r="D62" s="1123"/>
      <c r="E62" s="1122"/>
      <c r="F62" s="1123"/>
    </row>
    <row r="63" spans="1:6" x14ac:dyDescent="0.3">
      <c r="A63" s="90"/>
      <c r="C63" s="101"/>
      <c r="D63" s="101"/>
      <c r="E63" s="101"/>
      <c r="F63" s="101"/>
    </row>
    <row r="64" spans="1:6" ht="15.6" x14ac:dyDescent="0.3">
      <c r="A64" s="90"/>
      <c r="D64" s="91"/>
    </row>
    <row r="65" spans="1:6" ht="24" customHeight="1" x14ac:dyDescent="0.3">
      <c r="A65" s="90"/>
      <c r="C65" s="98" t="s">
        <v>381</v>
      </c>
      <c r="D65" s="99">
        <f>_o6</f>
        <v>0</v>
      </c>
      <c r="E65" s="100"/>
      <c r="F65" s="100"/>
    </row>
    <row r="66" spans="1:6" x14ac:dyDescent="0.3">
      <c r="A66" s="90"/>
    </row>
    <row r="67" spans="1:6" x14ac:dyDescent="0.3">
      <c r="A67" s="90"/>
      <c r="C67" s="101"/>
      <c r="D67" s="101" t="str">
        <f ca="1">' '!$A$364</f>
        <v>Beschreibung/Bemerkungen</v>
      </c>
      <c r="E67" s="101"/>
      <c r="F67" s="101"/>
    </row>
    <row r="68" spans="1:6" x14ac:dyDescent="0.3">
      <c r="A68" s="90"/>
      <c r="C68" s="1121"/>
      <c r="D68" s="1121"/>
      <c r="E68" s="1121"/>
      <c r="F68" s="1121"/>
    </row>
    <row r="69" spans="1:6" x14ac:dyDescent="0.3">
      <c r="A69" s="90"/>
      <c r="C69" s="101"/>
      <c r="D69" s="101" t="str">
        <f ca="1">' '!$A$363</f>
        <v>Berechnung</v>
      </c>
      <c r="E69" s="101"/>
      <c r="F69" s="101"/>
    </row>
    <row r="70" spans="1:6" x14ac:dyDescent="0.3">
      <c r="A70" s="90"/>
      <c r="C70" s="1121"/>
      <c r="D70" s="1121"/>
      <c r="E70" s="1121" t="s">
        <v>695</v>
      </c>
      <c r="F70" s="1121"/>
    </row>
    <row r="71" spans="1:6" x14ac:dyDescent="0.3">
      <c r="A71" s="90"/>
      <c r="C71" s="101"/>
      <c r="D71" s="102" t="str">
        <f ca="1">' '!$A$365</f>
        <v>Quelle</v>
      </c>
      <c r="E71" s="101" t="str">
        <f ca="1">' '!$A$366</f>
        <v>Erhebungszeitpunkt &amp; Branchenvergleich</v>
      </c>
      <c r="F71" s="101"/>
    </row>
    <row r="72" spans="1:6" x14ac:dyDescent="0.3">
      <c r="A72" s="90"/>
      <c r="C72" s="1122"/>
      <c r="D72" s="1123"/>
      <c r="E72" s="1122"/>
      <c r="F72" s="1123"/>
    </row>
    <row r="73" spans="1:6" x14ac:dyDescent="0.3">
      <c r="A73" s="90"/>
      <c r="C73" s="1122"/>
      <c r="D73" s="1123"/>
      <c r="E73" s="1122"/>
      <c r="F73" s="1123"/>
    </row>
    <row r="74" spans="1:6" x14ac:dyDescent="0.3">
      <c r="A74" s="90"/>
      <c r="C74" s="1122"/>
      <c r="D74" s="1123"/>
      <c r="E74" s="1122"/>
      <c r="F74" s="1123"/>
    </row>
    <row r="75" spans="1:6" x14ac:dyDescent="0.3">
      <c r="A75" s="90"/>
      <c r="C75" s="101"/>
      <c r="D75" s="101"/>
      <c r="E75" s="101"/>
      <c r="F75" s="101"/>
    </row>
    <row r="76" spans="1:6" ht="15.6" x14ac:dyDescent="0.3">
      <c r="A76" s="90"/>
      <c r="D76" s="91"/>
    </row>
    <row r="77" spans="1:6" ht="24" customHeight="1" x14ac:dyDescent="0.3">
      <c r="A77" s="90"/>
      <c r="C77" s="98" t="s">
        <v>383</v>
      </c>
      <c r="D77" s="99">
        <f>_o7</f>
        <v>0</v>
      </c>
      <c r="E77" s="100"/>
      <c r="F77" s="100"/>
    </row>
    <row r="78" spans="1:6" x14ac:dyDescent="0.3">
      <c r="A78" s="90"/>
    </row>
    <row r="79" spans="1:6" x14ac:dyDescent="0.3">
      <c r="A79" s="90"/>
      <c r="C79" s="101"/>
      <c r="D79" s="101" t="str">
        <f ca="1">' '!$A$364</f>
        <v>Beschreibung/Bemerkungen</v>
      </c>
      <c r="E79" s="101"/>
      <c r="F79" s="101"/>
    </row>
    <row r="80" spans="1:6" x14ac:dyDescent="0.3">
      <c r="A80" s="90"/>
      <c r="C80" s="1121"/>
      <c r="D80" s="1121"/>
      <c r="E80" s="1121"/>
      <c r="F80" s="1121"/>
    </row>
    <row r="81" spans="1:6" x14ac:dyDescent="0.3">
      <c r="A81" s="90"/>
      <c r="C81" s="101"/>
      <c r="D81" s="101" t="str">
        <f ca="1">' '!$A$363</f>
        <v>Berechnung</v>
      </c>
      <c r="E81" s="101"/>
      <c r="F81" s="101"/>
    </row>
    <row r="82" spans="1:6" x14ac:dyDescent="0.3">
      <c r="A82" s="90"/>
      <c r="C82" s="1121"/>
      <c r="D82" s="1121"/>
      <c r="E82" s="1121" t="s">
        <v>695</v>
      </c>
      <c r="F82" s="1121"/>
    </row>
    <row r="83" spans="1:6" x14ac:dyDescent="0.3">
      <c r="A83" s="90"/>
      <c r="C83" s="101"/>
      <c r="D83" s="102" t="str">
        <f ca="1">' '!$A$365</f>
        <v>Quelle</v>
      </c>
      <c r="E83" s="101" t="str">
        <f ca="1">' '!$A$366</f>
        <v>Erhebungszeitpunkt &amp; Branchenvergleich</v>
      </c>
      <c r="F83" s="101"/>
    </row>
    <row r="84" spans="1:6" x14ac:dyDescent="0.3">
      <c r="A84" s="90"/>
      <c r="C84" s="1122"/>
      <c r="D84" s="1123"/>
      <c r="E84" s="1122"/>
      <c r="F84" s="1123"/>
    </row>
    <row r="85" spans="1:6" x14ac:dyDescent="0.3">
      <c r="A85" s="90"/>
      <c r="C85" s="1122"/>
      <c r="D85" s="1123"/>
      <c r="E85" s="1122"/>
      <c r="F85" s="1123"/>
    </row>
    <row r="86" spans="1:6" x14ac:dyDescent="0.3">
      <c r="A86" s="90"/>
      <c r="C86" s="1122"/>
      <c r="D86" s="1123"/>
      <c r="E86" s="1122"/>
      <c r="F86" s="1123"/>
    </row>
    <row r="87" spans="1:6" x14ac:dyDescent="0.3">
      <c r="A87" s="90"/>
      <c r="C87" s="101"/>
      <c r="D87" s="101"/>
      <c r="E87" s="101"/>
      <c r="F87" s="101"/>
    </row>
    <row r="88" spans="1:6" ht="15.6" x14ac:dyDescent="0.3">
      <c r="A88" s="90"/>
      <c r="D88" s="91"/>
    </row>
    <row r="89" spans="1:6" ht="24" customHeight="1" x14ac:dyDescent="0.3">
      <c r="A89" s="90"/>
      <c r="C89" s="98" t="s">
        <v>385</v>
      </c>
      <c r="D89" s="99">
        <f>_o8</f>
        <v>0</v>
      </c>
      <c r="E89" s="100"/>
      <c r="F89" s="100"/>
    </row>
    <row r="90" spans="1:6" x14ac:dyDescent="0.3">
      <c r="A90" s="90"/>
    </row>
    <row r="91" spans="1:6" x14ac:dyDescent="0.3">
      <c r="A91" s="90"/>
      <c r="C91" s="101"/>
      <c r="D91" s="101" t="str">
        <f ca="1">' '!$A$364</f>
        <v>Beschreibung/Bemerkungen</v>
      </c>
      <c r="E91" s="101"/>
      <c r="F91" s="101"/>
    </row>
    <row r="92" spans="1:6" x14ac:dyDescent="0.3">
      <c r="A92" s="90"/>
      <c r="C92" s="1121"/>
      <c r="D92" s="1121"/>
      <c r="E92" s="1121"/>
      <c r="F92" s="1121"/>
    </row>
    <row r="93" spans="1:6" x14ac:dyDescent="0.3">
      <c r="A93" s="90"/>
      <c r="C93" s="101"/>
      <c r="D93" s="101" t="str">
        <f ca="1">' '!$A$363</f>
        <v>Berechnung</v>
      </c>
      <c r="E93" s="101"/>
      <c r="F93" s="101"/>
    </row>
    <row r="94" spans="1:6" x14ac:dyDescent="0.3">
      <c r="A94" s="90"/>
      <c r="C94" s="1121"/>
      <c r="D94" s="1121"/>
      <c r="E94" s="1121" t="s">
        <v>695</v>
      </c>
      <c r="F94" s="1121"/>
    </row>
    <row r="95" spans="1:6" x14ac:dyDescent="0.3">
      <c r="A95" s="90"/>
      <c r="C95" s="101"/>
      <c r="D95" s="102" t="str">
        <f ca="1">' '!$A$365</f>
        <v>Quelle</v>
      </c>
      <c r="E95" s="101" t="str">
        <f ca="1">' '!$A$366</f>
        <v>Erhebungszeitpunkt &amp; Branchenvergleich</v>
      </c>
      <c r="F95" s="101"/>
    </row>
    <row r="96" spans="1:6" x14ac:dyDescent="0.3">
      <c r="A96" s="90"/>
      <c r="C96" s="1122"/>
      <c r="D96" s="1123"/>
      <c r="E96" s="1122"/>
      <c r="F96" s="1123"/>
    </row>
    <row r="97" spans="1:6" x14ac:dyDescent="0.3">
      <c r="A97" s="90"/>
      <c r="C97" s="1122"/>
      <c r="D97" s="1123"/>
      <c r="E97" s="1122"/>
      <c r="F97" s="1123"/>
    </row>
    <row r="98" spans="1:6" x14ac:dyDescent="0.3">
      <c r="A98" s="90"/>
      <c r="C98" s="1122"/>
      <c r="D98" s="1123"/>
      <c r="E98" s="1122"/>
      <c r="F98" s="1123"/>
    </row>
    <row r="99" spans="1:6" x14ac:dyDescent="0.3">
      <c r="A99" s="90"/>
      <c r="C99" s="101"/>
      <c r="D99" s="101"/>
      <c r="E99" s="101"/>
      <c r="F99" s="101"/>
    </row>
    <row r="100" spans="1:6" ht="15.6" x14ac:dyDescent="0.3">
      <c r="A100" s="90"/>
      <c r="D100" s="91"/>
    </row>
    <row r="101" spans="1:6" ht="24" customHeight="1" x14ac:dyDescent="0.3">
      <c r="A101" s="90"/>
      <c r="C101" s="98" t="s">
        <v>387</v>
      </c>
      <c r="D101" s="99">
        <f>_o9</f>
        <v>0</v>
      </c>
      <c r="E101" s="100"/>
      <c r="F101" s="100"/>
    </row>
    <row r="102" spans="1:6" x14ac:dyDescent="0.3">
      <c r="A102" s="90"/>
    </row>
    <row r="103" spans="1:6" x14ac:dyDescent="0.3">
      <c r="A103" s="90"/>
      <c r="C103" s="101"/>
      <c r="D103" s="101" t="str">
        <f ca="1">' '!$A$364</f>
        <v>Beschreibung/Bemerkungen</v>
      </c>
      <c r="E103" s="101"/>
      <c r="F103" s="101"/>
    </row>
    <row r="104" spans="1:6" x14ac:dyDescent="0.3">
      <c r="A104" s="90"/>
      <c r="C104" s="1121"/>
      <c r="D104" s="1121"/>
      <c r="E104" s="1121"/>
      <c r="F104" s="1121"/>
    </row>
    <row r="105" spans="1:6" x14ac:dyDescent="0.3">
      <c r="A105" s="90"/>
      <c r="C105" s="101"/>
      <c r="D105" s="101" t="str">
        <f ca="1">' '!$A$363</f>
        <v>Berechnung</v>
      </c>
      <c r="E105" s="101"/>
      <c r="F105" s="101"/>
    </row>
    <row r="106" spans="1:6" x14ac:dyDescent="0.3">
      <c r="A106" s="90"/>
      <c r="C106" s="1121"/>
      <c r="D106" s="1121"/>
      <c r="E106" s="1121" t="s">
        <v>695</v>
      </c>
      <c r="F106" s="1121"/>
    </row>
    <row r="107" spans="1:6" x14ac:dyDescent="0.3">
      <c r="A107" s="90"/>
      <c r="C107" s="101"/>
      <c r="D107" s="102" t="str">
        <f ca="1">' '!$A$365</f>
        <v>Quelle</v>
      </c>
      <c r="E107" s="101" t="str">
        <f ca="1">' '!$A$366</f>
        <v>Erhebungszeitpunkt &amp; Branchenvergleich</v>
      </c>
      <c r="F107" s="101"/>
    </row>
    <row r="108" spans="1:6" x14ac:dyDescent="0.3">
      <c r="A108" s="90"/>
      <c r="C108" s="1122"/>
      <c r="D108" s="1123"/>
      <c r="E108" s="1122"/>
      <c r="F108" s="1123"/>
    </row>
    <row r="109" spans="1:6" x14ac:dyDescent="0.3">
      <c r="A109" s="90"/>
      <c r="C109" s="1122"/>
      <c r="D109" s="1123"/>
      <c r="E109" s="1122"/>
      <c r="F109" s="1123"/>
    </row>
    <row r="110" spans="1:6" x14ac:dyDescent="0.3">
      <c r="A110" s="90"/>
      <c r="C110" s="1122"/>
      <c r="D110" s="1123"/>
      <c r="E110" s="1122"/>
      <c r="F110" s="1123"/>
    </row>
    <row r="111" spans="1:6" x14ac:dyDescent="0.3">
      <c r="A111" s="90"/>
      <c r="C111" s="101"/>
      <c r="D111" s="101"/>
      <c r="E111" s="101"/>
      <c r="F111" s="101"/>
    </row>
    <row r="112" spans="1:6" ht="15.6" x14ac:dyDescent="0.3">
      <c r="A112" s="90"/>
      <c r="D112" s="91"/>
    </row>
    <row r="113" spans="1:6" ht="24" customHeight="1" x14ac:dyDescent="0.3">
      <c r="A113" s="90"/>
      <c r="C113" s="98" t="s">
        <v>389</v>
      </c>
      <c r="D113" s="99">
        <f>_o10</f>
        <v>0</v>
      </c>
      <c r="E113" s="100"/>
      <c r="F113" s="100"/>
    </row>
    <row r="114" spans="1:6" x14ac:dyDescent="0.3">
      <c r="A114" s="90"/>
    </row>
    <row r="115" spans="1:6" x14ac:dyDescent="0.3">
      <c r="A115" s="90"/>
      <c r="C115" s="101"/>
      <c r="D115" s="101" t="str">
        <f ca="1">' '!$A$364</f>
        <v>Beschreibung/Bemerkungen</v>
      </c>
      <c r="E115" s="101"/>
      <c r="F115" s="101"/>
    </row>
    <row r="116" spans="1:6" x14ac:dyDescent="0.3">
      <c r="A116" s="90"/>
      <c r="C116" s="1121"/>
      <c r="D116" s="1121"/>
      <c r="E116" s="1121"/>
      <c r="F116" s="1121"/>
    </row>
    <row r="117" spans="1:6" x14ac:dyDescent="0.3">
      <c r="A117" s="90"/>
      <c r="C117" s="101"/>
      <c r="D117" s="101" t="str">
        <f ca="1">' '!$A$363</f>
        <v>Berechnung</v>
      </c>
      <c r="E117" s="101"/>
      <c r="F117" s="101"/>
    </row>
    <row r="118" spans="1:6" x14ac:dyDescent="0.3">
      <c r="A118" s="90"/>
      <c r="C118" s="1121"/>
      <c r="D118" s="1121"/>
      <c r="E118" s="1121" t="s">
        <v>695</v>
      </c>
      <c r="F118" s="1121"/>
    </row>
    <row r="119" spans="1:6" x14ac:dyDescent="0.3">
      <c r="A119" s="90"/>
      <c r="C119" s="101"/>
      <c r="D119" s="102" t="str">
        <f ca="1">' '!$A$365</f>
        <v>Quelle</v>
      </c>
      <c r="E119" s="101" t="str">
        <f ca="1">' '!$A$366</f>
        <v>Erhebungszeitpunkt &amp; Branchenvergleich</v>
      </c>
      <c r="F119" s="101"/>
    </row>
    <row r="120" spans="1:6" x14ac:dyDescent="0.3">
      <c r="A120" s="90"/>
      <c r="C120" s="1122"/>
      <c r="D120" s="1123"/>
      <c r="E120" s="1122"/>
      <c r="F120" s="1123"/>
    </row>
    <row r="121" spans="1:6" x14ac:dyDescent="0.3">
      <c r="A121" s="90"/>
      <c r="C121" s="1122"/>
      <c r="D121" s="1123"/>
      <c r="E121" s="1122"/>
      <c r="F121" s="1123"/>
    </row>
    <row r="122" spans="1:6" x14ac:dyDescent="0.3">
      <c r="A122" s="90"/>
      <c r="C122" s="1122"/>
      <c r="D122" s="1123"/>
      <c r="E122" s="1122"/>
      <c r="F122" s="1123"/>
    </row>
    <row r="123" spans="1:6" x14ac:dyDescent="0.3">
      <c r="A123" s="90"/>
      <c r="C123" s="101"/>
      <c r="D123" s="101"/>
      <c r="E123" s="101"/>
      <c r="F123" s="101"/>
    </row>
    <row r="124" spans="1:6" ht="15.6" x14ac:dyDescent="0.3">
      <c r="A124" s="90"/>
      <c r="D124" s="91"/>
    </row>
    <row r="125" spans="1:6" ht="24" customHeight="1" x14ac:dyDescent="0.3">
      <c r="A125" s="90"/>
      <c r="C125" s="98" t="s">
        <v>391</v>
      </c>
      <c r="D125" s="99">
        <f>_o11</f>
        <v>0</v>
      </c>
      <c r="E125" s="100"/>
      <c r="F125" s="100"/>
    </row>
    <row r="126" spans="1:6" x14ac:dyDescent="0.3">
      <c r="A126" s="90"/>
    </row>
    <row r="127" spans="1:6" x14ac:dyDescent="0.3">
      <c r="A127" s="90"/>
      <c r="C127" s="101"/>
      <c r="D127" s="101" t="str">
        <f ca="1">' '!$A$364</f>
        <v>Beschreibung/Bemerkungen</v>
      </c>
      <c r="E127" s="101"/>
      <c r="F127" s="101"/>
    </row>
    <row r="128" spans="1:6" x14ac:dyDescent="0.3">
      <c r="A128" s="90"/>
      <c r="C128" s="1121"/>
      <c r="D128" s="1121"/>
      <c r="E128" s="1121"/>
      <c r="F128" s="1121"/>
    </row>
    <row r="129" spans="1:6" x14ac:dyDescent="0.3">
      <c r="A129" s="90"/>
      <c r="C129" s="101"/>
      <c r="D129" s="101" t="str">
        <f ca="1">' '!$A$363</f>
        <v>Berechnung</v>
      </c>
      <c r="E129" s="101"/>
      <c r="F129" s="101"/>
    </row>
    <row r="130" spans="1:6" x14ac:dyDescent="0.3">
      <c r="A130" s="90"/>
      <c r="C130" s="1121"/>
      <c r="D130" s="1121"/>
      <c r="E130" s="1121" t="s">
        <v>695</v>
      </c>
      <c r="F130" s="1121"/>
    </row>
    <row r="131" spans="1:6" x14ac:dyDescent="0.3">
      <c r="A131" s="90"/>
      <c r="C131" s="101"/>
      <c r="D131" s="102" t="str">
        <f ca="1">' '!$A$365</f>
        <v>Quelle</v>
      </c>
      <c r="E131" s="101" t="str">
        <f ca="1">' '!$A$366</f>
        <v>Erhebungszeitpunkt &amp; Branchenvergleich</v>
      </c>
      <c r="F131" s="101"/>
    </row>
    <row r="132" spans="1:6" x14ac:dyDescent="0.3">
      <c r="A132" s="90"/>
      <c r="C132" s="1122"/>
      <c r="D132" s="1123"/>
      <c r="E132" s="1122"/>
      <c r="F132" s="1123"/>
    </row>
    <row r="133" spans="1:6" x14ac:dyDescent="0.3">
      <c r="A133" s="90"/>
      <c r="C133" s="1122"/>
      <c r="D133" s="1123"/>
      <c r="E133" s="1122"/>
      <c r="F133" s="1123"/>
    </row>
    <row r="134" spans="1:6" x14ac:dyDescent="0.3">
      <c r="A134" s="90"/>
      <c r="C134" s="1122"/>
      <c r="D134" s="1123"/>
      <c r="E134" s="1122"/>
      <c r="F134" s="1123"/>
    </row>
    <row r="135" spans="1:6" x14ac:dyDescent="0.3">
      <c r="A135" s="90"/>
      <c r="C135" s="101"/>
      <c r="D135" s="101"/>
      <c r="E135" s="101"/>
      <c r="F135" s="101"/>
    </row>
    <row r="136" spans="1:6" ht="15.6" x14ac:dyDescent="0.3">
      <c r="A136" s="90"/>
      <c r="D136" s="91"/>
    </row>
    <row r="137" spans="1:6" ht="24" customHeight="1" x14ac:dyDescent="0.3">
      <c r="A137" s="90"/>
      <c r="C137" s="98" t="s">
        <v>393</v>
      </c>
      <c r="D137" s="99">
        <f>_o12</f>
        <v>0</v>
      </c>
      <c r="E137" s="100"/>
      <c r="F137" s="100"/>
    </row>
    <row r="138" spans="1:6" x14ac:dyDescent="0.3">
      <c r="A138" s="90"/>
    </row>
    <row r="139" spans="1:6" x14ac:dyDescent="0.3">
      <c r="A139" s="90"/>
      <c r="C139" s="101"/>
      <c r="D139" s="101" t="str">
        <f ca="1">' '!$A$364</f>
        <v>Beschreibung/Bemerkungen</v>
      </c>
      <c r="E139" s="101"/>
      <c r="F139" s="101"/>
    </row>
    <row r="140" spans="1:6" x14ac:dyDescent="0.3">
      <c r="A140" s="90"/>
      <c r="C140" s="1121"/>
      <c r="D140" s="1121"/>
      <c r="E140" s="1121"/>
      <c r="F140" s="1121"/>
    </row>
    <row r="141" spans="1:6" x14ac:dyDescent="0.3">
      <c r="A141" s="90"/>
      <c r="C141" s="101"/>
      <c r="D141" s="101" t="str">
        <f ca="1">' '!$A$363</f>
        <v>Berechnung</v>
      </c>
      <c r="E141" s="101"/>
      <c r="F141" s="101"/>
    </row>
    <row r="142" spans="1:6" x14ac:dyDescent="0.3">
      <c r="A142" s="90"/>
      <c r="C142" s="1121"/>
      <c r="D142" s="1121"/>
      <c r="E142" s="1121" t="s">
        <v>695</v>
      </c>
      <c r="F142" s="1121"/>
    </row>
    <row r="143" spans="1:6" x14ac:dyDescent="0.3">
      <c r="A143" s="90"/>
      <c r="C143" s="101"/>
      <c r="D143" s="102" t="str">
        <f ca="1">' '!$A$365</f>
        <v>Quelle</v>
      </c>
      <c r="E143" s="101" t="str">
        <f ca="1">' '!$A$366</f>
        <v>Erhebungszeitpunkt &amp; Branchenvergleich</v>
      </c>
      <c r="F143" s="101"/>
    </row>
    <row r="144" spans="1:6" x14ac:dyDescent="0.3">
      <c r="A144" s="90"/>
      <c r="C144" s="1122"/>
      <c r="D144" s="1123"/>
      <c r="E144" s="1122"/>
      <c r="F144" s="1123"/>
    </row>
    <row r="145" spans="1:6" x14ac:dyDescent="0.3">
      <c r="A145" s="90"/>
      <c r="C145" s="1122"/>
      <c r="D145" s="1123"/>
      <c r="E145" s="1122"/>
      <c r="F145" s="1123"/>
    </row>
    <row r="146" spans="1:6" x14ac:dyDescent="0.3">
      <c r="A146" s="90"/>
      <c r="C146" s="1122"/>
      <c r="D146" s="1123"/>
      <c r="E146" s="1122"/>
      <c r="F146" s="1123"/>
    </row>
    <row r="147" spans="1:6" x14ac:dyDescent="0.3">
      <c r="A147" s="90"/>
      <c r="C147" s="101"/>
      <c r="D147" s="101"/>
      <c r="E147" s="101"/>
      <c r="F147" s="101"/>
    </row>
    <row r="148" spans="1:6" ht="15.6" x14ac:dyDescent="0.3">
      <c r="A148" s="90"/>
      <c r="D148" s="91"/>
    </row>
    <row r="149" spans="1:6" ht="24" customHeight="1" x14ac:dyDescent="0.3">
      <c r="A149" s="90"/>
      <c r="C149" s="98" t="s">
        <v>395</v>
      </c>
      <c r="D149" s="99">
        <f>_o13</f>
        <v>0</v>
      </c>
      <c r="E149" s="100"/>
      <c r="F149" s="100"/>
    </row>
    <row r="150" spans="1:6" x14ac:dyDescent="0.3">
      <c r="A150" s="90"/>
    </row>
    <row r="151" spans="1:6" x14ac:dyDescent="0.3">
      <c r="A151" s="90"/>
      <c r="C151" s="101"/>
      <c r="D151" s="101" t="str">
        <f ca="1">' '!$A$364</f>
        <v>Beschreibung/Bemerkungen</v>
      </c>
      <c r="E151" s="101"/>
      <c r="F151" s="101"/>
    </row>
    <row r="152" spans="1:6" x14ac:dyDescent="0.3">
      <c r="A152" s="90"/>
      <c r="C152" s="1121"/>
      <c r="D152" s="1121"/>
      <c r="E152" s="1121"/>
      <c r="F152" s="1121"/>
    </row>
    <row r="153" spans="1:6" x14ac:dyDescent="0.3">
      <c r="A153" s="90"/>
      <c r="C153" s="101"/>
      <c r="D153" s="101" t="str">
        <f ca="1">' '!$A$363</f>
        <v>Berechnung</v>
      </c>
      <c r="E153" s="101"/>
      <c r="F153" s="101"/>
    </row>
    <row r="154" spans="1:6" x14ac:dyDescent="0.3">
      <c r="A154" s="90"/>
      <c r="C154" s="1121"/>
      <c r="D154" s="1121"/>
      <c r="E154" s="1121" t="s">
        <v>695</v>
      </c>
      <c r="F154" s="1121"/>
    </row>
    <row r="155" spans="1:6" x14ac:dyDescent="0.3">
      <c r="A155" s="90"/>
      <c r="C155" s="101"/>
      <c r="D155" s="102" t="str">
        <f ca="1">' '!$A$365</f>
        <v>Quelle</v>
      </c>
      <c r="E155" s="101" t="str">
        <f ca="1">' '!$A$366</f>
        <v>Erhebungszeitpunkt &amp; Branchenvergleich</v>
      </c>
      <c r="F155" s="101"/>
    </row>
    <row r="156" spans="1:6" x14ac:dyDescent="0.3">
      <c r="A156" s="90"/>
      <c r="C156" s="1122"/>
      <c r="D156" s="1123"/>
      <c r="E156" s="1122"/>
      <c r="F156" s="1123"/>
    </row>
    <row r="157" spans="1:6" x14ac:dyDescent="0.3">
      <c r="A157" s="90"/>
      <c r="C157" s="1122"/>
      <c r="D157" s="1123"/>
      <c r="E157" s="1122"/>
      <c r="F157" s="1123"/>
    </row>
    <row r="158" spans="1:6" x14ac:dyDescent="0.3">
      <c r="A158" s="90"/>
      <c r="C158" s="1122"/>
      <c r="D158" s="1123"/>
      <c r="E158" s="1122"/>
      <c r="F158" s="1123"/>
    </row>
    <row r="159" spans="1:6" x14ac:dyDescent="0.3">
      <c r="A159" s="90"/>
      <c r="C159" s="101"/>
      <c r="D159" s="101"/>
      <c r="E159" s="101"/>
      <c r="F159" s="101"/>
    </row>
    <row r="160" spans="1:6" ht="15.6" x14ac:dyDescent="0.3">
      <c r="A160" s="90"/>
      <c r="D160" s="91"/>
    </row>
    <row r="161" spans="1:6" ht="24" customHeight="1" x14ac:dyDescent="0.3">
      <c r="A161" s="90"/>
      <c r="C161" s="98" t="s">
        <v>397</v>
      </c>
      <c r="D161" s="99">
        <f>_o14</f>
        <v>0</v>
      </c>
      <c r="E161" s="100"/>
      <c r="F161" s="100"/>
    </row>
    <row r="162" spans="1:6" x14ac:dyDescent="0.3">
      <c r="A162" s="90"/>
    </row>
    <row r="163" spans="1:6" x14ac:dyDescent="0.3">
      <c r="A163" s="90"/>
      <c r="C163" s="101"/>
      <c r="D163" s="101" t="str">
        <f ca="1">' '!$A$364</f>
        <v>Beschreibung/Bemerkungen</v>
      </c>
      <c r="E163" s="101"/>
      <c r="F163" s="101"/>
    </row>
    <row r="164" spans="1:6" x14ac:dyDescent="0.3">
      <c r="A164" s="90"/>
      <c r="C164" s="1121"/>
      <c r="D164" s="1121"/>
      <c r="E164" s="1121"/>
      <c r="F164" s="1121"/>
    </row>
    <row r="165" spans="1:6" x14ac:dyDescent="0.3">
      <c r="A165" s="90"/>
      <c r="C165" s="101"/>
      <c r="D165" s="101" t="str">
        <f ca="1">' '!$A$363</f>
        <v>Berechnung</v>
      </c>
      <c r="E165" s="101"/>
      <c r="F165" s="101"/>
    </row>
    <row r="166" spans="1:6" x14ac:dyDescent="0.3">
      <c r="A166" s="90"/>
      <c r="C166" s="1121"/>
      <c r="D166" s="1121"/>
      <c r="E166" s="1121" t="s">
        <v>695</v>
      </c>
      <c r="F166" s="1121"/>
    </row>
    <row r="167" spans="1:6" x14ac:dyDescent="0.3">
      <c r="A167" s="90"/>
      <c r="C167" s="101"/>
      <c r="D167" s="102" t="str">
        <f ca="1">' '!$A$365</f>
        <v>Quelle</v>
      </c>
      <c r="E167" s="101" t="str">
        <f ca="1">' '!$A$366</f>
        <v>Erhebungszeitpunkt &amp; Branchenvergleich</v>
      </c>
      <c r="F167" s="101"/>
    </row>
    <row r="168" spans="1:6" x14ac:dyDescent="0.3">
      <c r="A168" s="90"/>
      <c r="C168" s="1122"/>
      <c r="D168" s="1123"/>
      <c r="E168" s="1122"/>
      <c r="F168" s="1123"/>
    </row>
    <row r="169" spans="1:6" x14ac:dyDescent="0.3">
      <c r="A169" s="90"/>
      <c r="C169" s="1122"/>
      <c r="D169" s="1123"/>
      <c r="E169" s="1122"/>
      <c r="F169" s="1123"/>
    </row>
    <row r="170" spans="1:6" x14ac:dyDescent="0.3">
      <c r="A170" s="90"/>
      <c r="C170" s="1122"/>
      <c r="D170" s="1123"/>
      <c r="E170" s="1122"/>
      <c r="F170" s="1123"/>
    </row>
    <row r="171" spans="1:6" x14ac:dyDescent="0.3">
      <c r="A171" s="90"/>
      <c r="C171" s="101"/>
      <c r="D171" s="101"/>
      <c r="E171" s="101"/>
      <c r="F171" s="101"/>
    </row>
    <row r="172" spans="1:6" ht="15.6" x14ac:dyDescent="0.3">
      <c r="A172" s="90"/>
      <c r="D172" s="91"/>
    </row>
    <row r="173" spans="1:6" ht="24" customHeight="1" x14ac:dyDescent="0.3">
      <c r="A173" s="90"/>
      <c r="C173" s="98" t="s">
        <v>399</v>
      </c>
      <c r="D173" s="99">
        <f>_o15</f>
        <v>0</v>
      </c>
      <c r="E173" s="100"/>
      <c r="F173" s="100"/>
    </row>
    <row r="174" spans="1:6" x14ac:dyDescent="0.3">
      <c r="A174" s="90"/>
    </row>
    <row r="175" spans="1:6" x14ac:dyDescent="0.3">
      <c r="A175" s="90"/>
      <c r="C175" s="101"/>
      <c r="D175" s="101" t="str">
        <f ca="1">' '!$A$364</f>
        <v>Beschreibung/Bemerkungen</v>
      </c>
      <c r="E175" s="101"/>
      <c r="F175" s="101"/>
    </row>
    <row r="176" spans="1:6" x14ac:dyDescent="0.3">
      <c r="A176" s="90"/>
      <c r="C176" s="1121"/>
      <c r="D176" s="1121"/>
      <c r="E176" s="1121"/>
      <c r="F176" s="1121"/>
    </row>
    <row r="177" spans="1:6" x14ac:dyDescent="0.3">
      <c r="A177" s="90"/>
      <c r="C177" s="101"/>
      <c r="D177" s="101" t="str">
        <f ca="1">' '!$A$363</f>
        <v>Berechnung</v>
      </c>
      <c r="E177" s="101"/>
      <c r="F177" s="101"/>
    </row>
    <row r="178" spans="1:6" x14ac:dyDescent="0.3">
      <c r="A178" s="90"/>
      <c r="C178" s="1121"/>
      <c r="D178" s="1121"/>
      <c r="E178" s="1121" t="s">
        <v>695</v>
      </c>
      <c r="F178" s="1121"/>
    </row>
    <row r="179" spans="1:6" x14ac:dyDescent="0.3">
      <c r="A179" s="90"/>
      <c r="C179" s="101"/>
      <c r="D179" s="102" t="str">
        <f ca="1">' '!$A$365</f>
        <v>Quelle</v>
      </c>
      <c r="E179" s="101" t="str">
        <f ca="1">' '!$A$366</f>
        <v>Erhebungszeitpunkt &amp; Branchenvergleich</v>
      </c>
      <c r="F179" s="101"/>
    </row>
    <row r="180" spans="1:6" x14ac:dyDescent="0.3">
      <c r="A180" s="90"/>
      <c r="C180" s="1122"/>
      <c r="D180" s="1123"/>
      <c r="E180" s="1122"/>
      <c r="F180" s="1123"/>
    </row>
    <row r="181" spans="1:6" x14ac:dyDescent="0.3">
      <c r="A181" s="90"/>
      <c r="C181" s="1122"/>
      <c r="D181" s="1123"/>
      <c r="E181" s="1122"/>
      <c r="F181" s="1123"/>
    </row>
    <row r="182" spans="1:6" x14ac:dyDescent="0.3">
      <c r="A182" s="90"/>
      <c r="C182" s="1122"/>
      <c r="D182" s="1123"/>
      <c r="E182" s="1122"/>
      <c r="F182" s="1123"/>
    </row>
    <row r="183" spans="1:6" x14ac:dyDescent="0.3">
      <c r="A183" s="90"/>
      <c r="C183" s="101"/>
      <c r="D183" s="101"/>
      <c r="E183" s="101"/>
      <c r="F183" s="101"/>
    </row>
    <row r="184" spans="1:6" ht="15.6" x14ac:dyDescent="0.3">
      <c r="A184" s="90"/>
      <c r="D184" s="91"/>
    </row>
    <row r="185" spans="1:6" ht="24" customHeight="1" x14ac:dyDescent="0.3">
      <c r="A185" s="90"/>
      <c r="C185" s="98" t="s">
        <v>401</v>
      </c>
      <c r="D185" s="99">
        <f>_o16</f>
        <v>0</v>
      </c>
      <c r="E185" s="100"/>
      <c r="F185" s="100"/>
    </row>
    <row r="186" spans="1:6" x14ac:dyDescent="0.3">
      <c r="A186" s="90"/>
    </row>
    <row r="187" spans="1:6" x14ac:dyDescent="0.3">
      <c r="A187" s="90"/>
      <c r="C187" s="101"/>
      <c r="D187" s="101" t="str">
        <f ca="1">' '!$A$364</f>
        <v>Beschreibung/Bemerkungen</v>
      </c>
      <c r="E187" s="101"/>
      <c r="F187" s="101"/>
    </row>
    <row r="188" spans="1:6" x14ac:dyDescent="0.3">
      <c r="A188" s="90"/>
      <c r="C188" s="1121"/>
      <c r="D188" s="1121"/>
      <c r="E188" s="1121"/>
      <c r="F188" s="1121"/>
    </row>
    <row r="189" spans="1:6" x14ac:dyDescent="0.3">
      <c r="A189" s="90"/>
      <c r="C189" s="101"/>
      <c r="D189" s="101" t="str">
        <f ca="1">' '!$A$363</f>
        <v>Berechnung</v>
      </c>
      <c r="E189" s="101"/>
      <c r="F189" s="101"/>
    </row>
    <row r="190" spans="1:6" x14ac:dyDescent="0.3">
      <c r="A190" s="90"/>
      <c r="C190" s="1121"/>
      <c r="D190" s="1121"/>
      <c r="E190" s="1121" t="s">
        <v>695</v>
      </c>
      <c r="F190" s="1121"/>
    </row>
    <row r="191" spans="1:6" x14ac:dyDescent="0.3">
      <c r="A191" s="90"/>
      <c r="C191" s="101"/>
      <c r="D191" s="102" t="str">
        <f ca="1">' '!$A$365</f>
        <v>Quelle</v>
      </c>
      <c r="E191" s="101" t="str">
        <f ca="1">' '!$A$366</f>
        <v>Erhebungszeitpunkt &amp; Branchenvergleich</v>
      </c>
      <c r="F191" s="101"/>
    </row>
    <row r="192" spans="1:6" x14ac:dyDescent="0.3">
      <c r="A192" s="90"/>
      <c r="C192" s="1122"/>
      <c r="D192" s="1123"/>
      <c r="E192" s="1122"/>
      <c r="F192" s="1123"/>
    </row>
    <row r="193" spans="1:6" x14ac:dyDescent="0.3">
      <c r="A193" s="90"/>
      <c r="C193" s="1122"/>
      <c r="D193" s="1123"/>
      <c r="E193" s="1122"/>
      <c r="F193" s="1123"/>
    </row>
    <row r="194" spans="1:6" x14ac:dyDescent="0.3">
      <c r="A194" s="90"/>
      <c r="C194" s="1122"/>
      <c r="D194" s="1123"/>
      <c r="E194" s="1122"/>
      <c r="F194" s="1123"/>
    </row>
    <row r="195" spans="1:6" x14ac:dyDescent="0.3">
      <c r="A195" s="90"/>
      <c r="C195" s="101"/>
      <c r="D195" s="101"/>
      <c r="E195" s="101"/>
      <c r="F195" s="101"/>
    </row>
    <row r="196" spans="1:6" ht="15.6" x14ac:dyDescent="0.3">
      <c r="A196" s="90"/>
      <c r="D196" s="91"/>
    </row>
    <row r="197" spans="1:6" ht="24" customHeight="1" x14ac:dyDescent="0.3">
      <c r="A197" s="90"/>
      <c r="C197" s="98" t="s">
        <v>403</v>
      </c>
      <c r="D197" s="99">
        <f>_o17</f>
        <v>0</v>
      </c>
      <c r="E197" s="100"/>
      <c r="F197" s="100"/>
    </row>
    <row r="198" spans="1:6" x14ac:dyDescent="0.3">
      <c r="A198" s="90"/>
    </row>
    <row r="199" spans="1:6" x14ac:dyDescent="0.3">
      <c r="A199" s="90"/>
      <c r="C199" s="101"/>
      <c r="D199" s="101" t="str">
        <f ca="1">' '!$A$364</f>
        <v>Beschreibung/Bemerkungen</v>
      </c>
      <c r="E199" s="101"/>
      <c r="F199" s="101"/>
    </row>
    <row r="200" spans="1:6" x14ac:dyDescent="0.3">
      <c r="A200" s="90"/>
      <c r="C200" s="1121"/>
      <c r="D200" s="1121"/>
      <c r="E200" s="1121"/>
      <c r="F200" s="1121"/>
    </row>
    <row r="201" spans="1:6" x14ac:dyDescent="0.3">
      <c r="A201" s="90"/>
      <c r="C201" s="101"/>
      <c r="D201" s="101" t="str">
        <f ca="1">' '!$A$363</f>
        <v>Berechnung</v>
      </c>
      <c r="E201" s="101"/>
      <c r="F201" s="101"/>
    </row>
    <row r="202" spans="1:6" x14ac:dyDescent="0.3">
      <c r="A202" s="90"/>
      <c r="C202" s="1121"/>
      <c r="D202" s="1121"/>
      <c r="E202" s="1121" t="s">
        <v>695</v>
      </c>
      <c r="F202" s="1121"/>
    </row>
    <row r="203" spans="1:6" x14ac:dyDescent="0.3">
      <c r="A203" s="90"/>
      <c r="C203" s="101"/>
      <c r="D203" s="102" t="str">
        <f ca="1">' '!$A$365</f>
        <v>Quelle</v>
      </c>
      <c r="E203" s="101" t="str">
        <f ca="1">' '!$A$366</f>
        <v>Erhebungszeitpunkt &amp; Branchenvergleich</v>
      </c>
      <c r="F203" s="101"/>
    </row>
    <row r="204" spans="1:6" x14ac:dyDescent="0.3">
      <c r="A204" s="90"/>
      <c r="C204" s="1122"/>
      <c r="D204" s="1123"/>
      <c r="E204" s="1122"/>
      <c r="F204" s="1123"/>
    </row>
    <row r="205" spans="1:6" x14ac:dyDescent="0.3">
      <c r="A205" s="90"/>
      <c r="C205" s="1122"/>
      <c r="D205" s="1123"/>
      <c r="E205" s="1122"/>
      <c r="F205" s="1123"/>
    </row>
    <row r="206" spans="1:6" x14ac:dyDescent="0.3">
      <c r="A206" s="90"/>
      <c r="C206" s="1122"/>
      <c r="D206" s="1123"/>
      <c r="E206" s="1122"/>
      <c r="F206" s="1123"/>
    </row>
    <row r="207" spans="1:6" x14ac:dyDescent="0.3">
      <c r="A207" s="90"/>
      <c r="C207" s="101"/>
      <c r="D207" s="101"/>
      <c r="E207" s="101"/>
      <c r="F207" s="101"/>
    </row>
    <row r="208" spans="1:6" ht="15.6" x14ac:dyDescent="0.3">
      <c r="A208" s="90"/>
      <c r="D208" s="91"/>
    </row>
    <row r="209" spans="1:6" ht="24" customHeight="1" x14ac:dyDescent="0.3">
      <c r="A209" s="90"/>
      <c r="C209" s="98" t="s">
        <v>405</v>
      </c>
      <c r="D209" s="99">
        <f>_o18</f>
        <v>0</v>
      </c>
      <c r="E209" s="100"/>
      <c r="F209" s="100"/>
    </row>
    <row r="210" spans="1:6" x14ac:dyDescent="0.3">
      <c r="A210" s="90"/>
    </row>
    <row r="211" spans="1:6" x14ac:dyDescent="0.3">
      <c r="A211" s="90"/>
      <c r="C211" s="101"/>
      <c r="D211" s="101" t="str">
        <f ca="1">' '!$A$364</f>
        <v>Beschreibung/Bemerkungen</v>
      </c>
      <c r="E211" s="101"/>
      <c r="F211" s="101"/>
    </row>
    <row r="212" spans="1:6" x14ac:dyDescent="0.3">
      <c r="A212" s="90"/>
      <c r="C212" s="1121"/>
      <c r="D212" s="1121"/>
      <c r="E212" s="1121"/>
      <c r="F212" s="1121"/>
    </row>
    <row r="213" spans="1:6" x14ac:dyDescent="0.3">
      <c r="A213" s="90"/>
      <c r="C213" s="101"/>
      <c r="D213" s="101" t="str">
        <f ca="1">' '!$A$363</f>
        <v>Berechnung</v>
      </c>
      <c r="E213" s="101"/>
      <c r="F213" s="101"/>
    </row>
    <row r="214" spans="1:6" x14ac:dyDescent="0.3">
      <c r="A214" s="90"/>
      <c r="C214" s="1121"/>
      <c r="D214" s="1121"/>
      <c r="E214" s="1121" t="s">
        <v>695</v>
      </c>
      <c r="F214" s="1121"/>
    </row>
    <row r="215" spans="1:6" x14ac:dyDescent="0.3">
      <c r="A215" s="90"/>
      <c r="C215" s="101"/>
      <c r="D215" s="102" t="str">
        <f ca="1">' '!$A$365</f>
        <v>Quelle</v>
      </c>
      <c r="E215" s="101" t="str">
        <f ca="1">' '!$A$366</f>
        <v>Erhebungszeitpunkt &amp; Branchenvergleich</v>
      </c>
      <c r="F215" s="101"/>
    </row>
    <row r="216" spans="1:6" x14ac:dyDescent="0.3">
      <c r="A216" s="90"/>
      <c r="C216" s="1122"/>
      <c r="D216" s="1123"/>
      <c r="E216" s="1122"/>
      <c r="F216" s="1123"/>
    </row>
    <row r="217" spans="1:6" x14ac:dyDescent="0.3">
      <c r="A217" s="90"/>
      <c r="C217" s="1122"/>
      <c r="D217" s="1123"/>
      <c r="E217" s="1122"/>
      <c r="F217" s="1123"/>
    </row>
    <row r="218" spans="1:6" x14ac:dyDescent="0.3">
      <c r="A218" s="90"/>
      <c r="C218" s="1122"/>
      <c r="D218" s="1123"/>
      <c r="E218" s="1122"/>
      <c r="F218" s="1123"/>
    </row>
    <row r="219" spans="1:6" x14ac:dyDescent="0.3">
      <c r="A219" s="90"/>
      <c r="C219" s="101"/>
      <c r="D219" s="101"/>
      <c r="E219" s="101"/>
      <c r="F219" s="101"/>
    </row>
    <row r="220" spans="1:6" ht="15.6" x14ac:dyDescent="0.3">
      <c r="A220" s="90"/>
      <c r="D220" s="91"/>
    </row>
    <row r="221" spans="1:6" ht="24" customHeight="1" x14ac:dyDescent="0.3">
      <c r="A221" s="90"/>
      <c r="C221" s="98" t="s">
        <v>610</v>
      </c>
      <c r="D221" s="99">
        <f>_o19</f>
        <v>0</v>
      </c>
      <c r="E221" s="100"/>
      <c r="F221" s="100"/>
    </row>
    <row r="222" spans="1:6" x14ac:dyDescent="0.3">
      <c r="A222" s="90"/>
    </row>
    <row r="223" spans="1:6" x14ac:dyDescent="0.3">
      <c r="A223" s="90"/>
      <c r="C223" s="101"/>
      <c r="D223" s="101" t="str">
        <f ca="1">' '!$A$364</f>
        <v>Beschreibung/Bemerkungen</v>
      </c>
      <c r="E223" s="101"/>
      <c r="F223" s="101"/>
    </row>
    <row r="224" spans="1:6" x14ac:dyDescent="0.3">
      <c r="A224" s="90"/>
      <c r="C224" s="1121"/>
      <c r="D224" s="1121"/>
      <c r="E224" s="1121"/>
      <c r="F224" s="1121"/>
    </row>
    <row r="225" spans="1:6" x14ac:dyDescent="0.3">
      <c r="A225" s="90"/>
      <c r="C225" s="101"/>
      <c r="D225" s="101" t="str">
        <f ca="1">' '!$A$363</f>
        <v>Berechnung</v>
      </c>
      <c r="E225" s="101"/>
      <c r="F225" s="101"/>
    </row>
    <row r="226" spans="1:6" x14ac:dyDescent="0.3">
      <c r="A226" s="90"/>
      <c r="C226" s="1121"/>
      <c r="D226" s="1121"/>
      <c r="E226" s="1121" t="s">
        <v>695</v>
      </c>
      <c r="F226" s="1121"/>
    </row>
    <row r="227" spans="1:6" x14ac:dyDescent="0.3">
      <c r="A227" s="90"/>
      <c r="C227" s="101"/>
      <c r="D227" s="102" t="str">
        <f ca="1">' '!$A$365</f>
        <v>Quelle</v>
      </c>
      <c r="E227" s="101" t="str">
        <f ca="1">' '!$A$366</f>
        <v>Erhebungszeitpunkt &amp; Branchenvergleich</v>
      </c>
      <c r="F227" s="101"/>
    </row>
    <row r="228" spans="1:6" x14ac:dyDescent="0.3">
      <c r="A228" s="90"/>
      <c r="C228" s="1122"/>
      <c r="D228" s="1123"/>
      <c r="E228" s="1122"/>
      <c r="F228" s="1123"/>
    </row>
    <row r="229" spans="1:6" x14ac:dyDescent="0.3">
      <c r="A229" s="90"/>
      <c r="C229" s="1122"/>
      <c r="D229" s="1123"/>
      <c r="E229" s="1122"/>
      <c r="F229" s="1123"/>
    </row>
    <row r="230" spans="1:6" x14ac:dyDescent="0.3">
      <c r="A230" s="90"/>
      <c r="C230" s="1122"/>
      <c r="D230" s="1123"/>
      <c r="E230" s="1122"/>
      <c r="F230" s="1123"/>
    </row>
    <row r="231" spans="1:6" x14ac:dyDescent="0.3">
      <c r="A231" s="90"/>
      <c r="C231" s="101"/>
      <c r="D231" s="101"/>
      <c r="E231" s="101"/>
      <c r="F231" s="101"/>
    </row>
    <row r="232" spans="1:6" ht="15.6" x14ac:dyDescent="0.3">
      <c r="A232" s="90"/>
      <c r="D232" s="91"/>
    </row>
    <row r="233" spans="1:6" ht="24" customHeight="1" x14ac:dyDescent="0.3">
      <c r="A233" s="90"/>
      <c r="C233" s="98" t="s">
        <v>611</v>
      </c>
      <c r="D233" s="99">
        <f>_o20</f>
        <v>0</v>
      </c>
      <c r="E233" s="100"/>
      <c r="F233" s="100"/>
    </row>
    <row r="234" spans="1:6" x14ac:dyDescent="0.3">
      <c r="A234" s="90"/>
    </row>
    <row r="235" spans="1:6" x14ac:dyDescent="0.3">
      <c r="A235" s="90"/>
      <c r="C235" s="101"/>
      <c r="D235" s="101" t="str">
        <f ca="1">' '!$A$364</f>
        <v>Beschreibung/Bemerkungen</v>
      </c>
      <c r="E235" s="101"/>
      <c r="F235" s="101"/>
    </row>
    <row r="236" spans="1:6" x14ac:dyDescent="0.3">
      <c r="A236" s="90"/>
      <c r="C236" s="1121"/>
      <c r="D236" s="1121"/>
      <c r="E236" s="1121"/>
      <c r="F236" s="1121"/>
    </row>
    <row r="237" spans="1:6" x14ac:dyDescent="0.3">
      <c r="A237" s="90"/>
      <c r="C237" s="101"/>
      <c r="D237" s="101" t="str">
        <f ca="1">' '!$A$363</f>
        <v>Berechnung</v>
      </c>
      <c r="E237" s="101"/>
      <c r="F237" s="101"/>
    </row>
    <row r="238" spans="1:6" x14ac:dyDescent="0.3">
      <c r="A238" s="90"/>
      <c r="C238" s="1121"/>
      <c r="D238" s="1121"/>
      <c r="E238" s="1121" t="s">
        <v>695</v>
      </c>
      <c r="F238" s="1121"/>
    </row>
    <row r="239" spans="1:6" x14ac:dyDescent="0.3">
      <c r="A239" s="90"/>
      <c r="C239" s="101"/>
      <c r="D239" s="102" t="str">
        <f ca="1">' '!$A$365</f>
        <v>Quelle</v>
      </c>
      <c r="E239" s="101" t="str">
        <f ca="1">' '!$A$366</f>
        <v>Erhebungszeitpunkt &amp; Branchenvergleich</v>
      </c>
      <c r="F239" s="101"/>
    </row>
    <row r="240" spans="1:6" x14ac:dyDescent="0.3">
      <c r="A240" s="90"/>
      <c r="C240" s="1122"/>
      <c r="D240" s="1123"/>
      <c r="E240" s="1122"/>
      <c r="F240" s="1123"/>
    </row>
    <row r="241" spans="1:6" x14ac:dyDescent="0.3">
      <c r="A241" s="90"/>
      <c r="C241" s="1122"/>
      <c r="D241" s="1123"/>
      <c r="E241" s="1122"/>
      <c r="F241" s="1123"/>
    </row>
    <row r="242" spans="1:6" x14ac:dyDescent="0.3">
      <c r="A242" s="90"/>
      <c r="C242" s="1122"/>
      <c r="D242" s="1123"/>
      <c r="E242" s="1122"/>
      <c r="F242" s="1123"/>
    </row>
    <row r="243" spans="1:6" x14ac:dyDescent="0.3">
      <c r="A243" s="90"/>
      <c r="C243" s="101"/>
      <c r="D243" s="101"/>
      <c r="E243" s="101"/>
      <c r="F243" s="101"/>
    </row>
    <row r="244" spans="1:6" ht="15.6" x14ac:dyDescent="0.3">
      <c r="A244" s="90"/>
      <c r="D244" s="91"/>
    </row>
    <row r="245" spans="1:6" ht="24" customHeight="1" x14ac:dyDescent="0.3">
      <c r="A245" s="90"/>
      <c r="C245" s="98" t="s">
        <v>612</v>
      </c>
      <c r="D245" s="99">
        <f>_o21</f>
        <v>0</v>
      </c>
      <c r="E245" s="100"/>
      <c r="F245" s="100"/>
    </row>
    <row r="246" spans="1:6" x14ac:dyDescent="0.3">
      <c r="A246" s="90"/>
    </row>
    <row r="247" spans="1:6" x14ac:dyDescent="0.3">
      <c r="A247" s="90"/>
      <c r="C247" s="101"/>
      <c r="D247" s="101" t="str">
        <f ca="1">' '!$A$364</f>
        <v>Beschreibung/Bemerkungen</v>
      </c>
      <c r="E247" s="101"/>
      <c r="F247" s="101"/>
    </row>
    <row r="248" spans="1:6" x14ac:dyDescent="0.3">
      <c r="A248" s="90"/>
      <c r="C248" s="1121"/>
      <c r="D248" s="1121"/>
      <c r="E248" s="1121"/>
      <c r="F248" s="1121"/>
    </row>
    <row r="249" spans="1:6" x14ac:dyDescent="0.3">
      <c r="A249" s="90"/>
      <c r="C249" s="101"/>
      <c r="D249" s="101" t="str">
        <f ca="1">' '!$A$363</f>
        <v>Berechnung</v>
      </c>
      <c r="E249" s="101"/>
      <c r="F249" s="101"/>
    </row>
    <row r="250" spans="1:6" x14ac:dyDescent="0.3">
      <c r="A250" s="90"/>
      <c r="C250" s="1121"/>
      <c r="D250" s="1121"/>
      <c r="E250" s="1121" t="s">
        <v>695</v>
      </c>
      <c r="F250" s="1121"/>
    </row>
    <row r="251" spans="1:6" x14ac:dyDescent="0.3">
      <c r="A251" s="90"/>
      <c r="C251" s="101"/>
      <c r="D251" s="102" t="str">
        <f ca="1">' '!$A$365</f>
        <v>Quelle</v>
      </c>
      <c r="E251" s="101" t="str">
        <f ca="1">' '!$A$366</f>
        <v>Erhebungszeitpunkt &amp; Branchenvergleich</v>
      </c>
      <c r="F251" s="101"/>
    </row>
    <row r="252" spans="1:6" x14ac:dyDescent="0.3">
      <c r="A252" s="90"/>
      <c r="C252" s="1122"/>
      <c r="D252" s="1123"/>
      <c r="E252" s="1122"/>
      <c r="F252" s="1123"/>
    </row>
    <row r="253" spans="1:6" x14ac:dyDescent="0.3">
      <c r="A253" s="90"/>
      <c r="C253" s="1122"/>
      <c r="D253" s="1123"/>
      <c r="E253" s="1122"/>
      <c r="F253" s="1123"/>
    </row>
    <row r="254" spans="1:6" x14ac:dyDescent="0.3">
      <c r="A254" s="90"/>
      <c r="C254" s="1122"/>
      <c r="D254" s="1123"/>
      <c r="E254" s="1122"/>
      <c r="F254" s="1123"/>
    </row>
    <row r="255" spans="1:6" x14ac:dyDescent="0.3">
      <c r="A255" s="90"/>
      <c r="C255" s="101"/>
      <c r="D255" s="101"/>
      <c r="E255" s="101"/>
      <c r="F255" s="101"/>
    </row>
    <row r="256" spans="1:6" ht="15.6" x14ac:dyDescent="0.3">
      <c r="A256" s="90"/>
      <c r="D256" s="91"/>
    </row>
    <row r="257" spans="1:6" ht="24" customHeight="1" x14ac:dyDescent="0.3">
      <c r="A257" s="90"/>
      <c r="C257" s="98" t="s">
        <v>613</v>
      </c>
      <c r="D257" s="99">
        <f>_o22</f>
        <v>0</v>
      </c>
      <c r="E257" s="100"/>
      <c r="F257" s="100"/>
    </row>
    <row r="258" spans="1:6" x14ac:dyDescent="0.3">
      <c r="A258" s="90"/>
    </row>
    <row r="259" spans="1:6" x14ac:dyDescent="0.3">
      <c r="A259" s="90"/>
      <c r="C259" s="101"/>
      <c r="D259" s="101" t="str">
        <f ca="1">' '!$A$364</f>
        <v>Beschreibung/Bemerkungen</v>
      </c>
      <c r="E259" s="101"/>
      <c r="F259" s="101"/>
    </row>
    <row r="260" spans="1:6" x14ac:dyDescent="0.3">
      <c r="A260" s="90"/>
      <c r="C260" s="1121"/>
      <c r="D260" s="1121"/>
      <c r="E260" s="1121"/>
      <c r="F260" s="1121"/>
    </row>
    <row r="261" spans="1:6" x14ac:dyDescent="0.3">
      <c r="A261" s="90"/>
      <c r="C261" s="101"/>
      <c r="D261" s="101" t="str">
        <f ca="1">' '!$A$363</f>
        <v>Berechnung</v>
      </c>
      <c r="E261" s="101"/>
      <c r="F261" s="101"/>
    </row>
    <row r="262" spans="1:6" x14ac:dyDescent="0.3">
      <c r="A262" s="90"/>
      <c r="C262" s="1121"/>
      <c r="D262" s="1121"/>
      <c r="E262" s="1121" t="s">
        <v>695</v>
      </c>
      <c r="F262" s="1121"/>
    </row>
    <row r="263" spans="1:6" x14ac:dyDescent="0.3">
      <c r="A263" s="90"/>
      <c r="C263" s="101"/>
      <c r="D263" s="102" t="str">
        <f ca="1">' '!$A$365</f>
        <v>Quelle</v>
      </c>
      <c r="E263" s="101" t="str">
        <f ca="1">' '!$A$366</f>
        <v>Erhebungszeitpunkt &amp; Branchenvergleich</v>
      </c>
      <c r="F263" s="101"/>
    </row>
    <row r="264" spans="1:6" x14ac:dyDescent="0.3">
      <c r="A264" s="90"/>
      <c r="C264" s="1122"/>
      <c r="D264" s="1123"/>
      <c r="E264" s="1122"/>
      <c r="F264" s="1123"/>
    </row>
    <row r="265" spans="1:6" x14ac:dyDescent="0.3">
      <c r="A265" s="90"/>
      <c r="C265" s="1122"/>
      <c r="D265" s="1123"/>
      <c r="E265" s="1122"/>
      <c r="F265" s="1123"/>
    </row>
    <row r="266" spans="1:6" x14ac:dyDescent="0.3">
      <c r="A266" s="90"/>
      <c r="C266" s="1122"/>
      <c r="D266" s="1123"/>
      <c r="E266" s="1122"/>
      <c r="F266" s="1123"/>
    </row>
    <row r="267" spans="1:6" x14ac:dyDescent="0.3">
      <c r="A267" s="90"/>
      <c r="C267" s="101"/>
      <c r="D267" s="101"/>
      <c r="E267" s="101"/>
      <c r="F267" s="101"/>
    </row>
    <row r="268" spans="1:6" ht="15.6" x14ac:dyDescent="0.3">
      <c r="A268" s="90"/>
      <c r="D268" s="91"/>
    </row>
    <row r="269" spans="1:6" ht="24" customHeight="1" x14ac:dyDescent="0.3">
      <c r="A269" s="90"/>
      <c r="C269" s="98" t="s">
        <v>614</v>
      </c>
      <c r="D269" s="99">
        <f>_o23</f>
        <v>0</v>
      </c>
      <c r="E269" s="100"/>
      <c r="F269" s="100"/>
    </row>
    <row r="270" spans="1:6" x14ac:dyDescent="0.3">
      <c r="A270" s="90"/>
    </row>
    <row r="271" spans="1:6" x14ac:dyDescent="0.3">
      <c r="A271" s="90"/>
      <c r="C271" s="101"/>
      <c r="D271" s="101" t="str">
        <f ca="1">' '!$A$364</f>
        <v>Beschreibung/Bemerkungen</v>
      </c>
      <c r="E271" s="101"/>
      <c r="F271" s="101"/>
    </row>
    <row r="272" spans="1:6" x14ac:dyDescent="0.3">
      <c r="A272" s="90"/>
      <c r="C272" s="1121"/>
      <c r="D272" s="1121"/>
      <c r="E272" s="1121"/>
      <c r="F272" s="1121"/>
    </row>
    <row r="273" spans="1:6" x14ac:dyDescent="0.3">
      <c r="A273" s="90"/>
      <c r="C273" s="101"/>
      <c r="D273" s="101" t="str">
        <f ca="1">' '!$A$363</f>
        <v>Berechnung</v>
      </c>
      <c r="E273" s="101"/>
      <c r="F273" s="101"/>
    </row>
    <row r="274" spans="1:6" x14ac:dyDescent="0.3">
      <c r="A274" s="90"/>
      <c r="C274" s="1121"/>
      <c r="D274" s="1121"/>
      <c r="E274" s="1121" t="s">
        <v>695</v>
      </c>
      <c r="F274" s="1121"/>
    </row>
    <row r="275" spans="1:6" x14ac:dyDescent="0.3">
      <c r="A275" s="90"/>
      <c r="C275" s="101"/>
      <c r="D275" s="102" t="str">
        <f ca="1">' '!$A$365</f>
        <v>Quelle</v>
      </c>
      <c r="E275" s="101" t="str">
        <f ca="1">' '!$A$366</f>
        <v>Erhebungszeitpunkt &amp; Branchenvergleich</v>
      </c>
      <c r="F275" s="101"/>
    </row>
    <row r="276" spans="1:6" x14ac:dyDescent="0.3">
      <c r="A276" s="90"/>
      <c r="C276" s="1122"/>
      <c r="D276" s="1123"/>
      <c r="E276" s="1122"/>
      <c r="F276" s="1123"/>
    </row>
    <row r="277" spans="1:6" x14ac:dyDescent="0.3">
      <c r="A277" s="90"/>
      <c r="C277" s="1122"/>
      <c r="D277" s="1123"/>
      <c r="E277" s="1122"/>
      <c r="F277" s="1123"/>
    </row>
    <row r="278" spans="1:6" x14ac:dyDescent="0.3">
      <c r="A278" s="90"/>
      <c r="C278" s="1122"/>
      <c r="D278" s="1123"/>
      <c r="E278" s="1122"/>
      <c r="F278" s="1123"/>
    </row>
    <row r="279" spans="1:6" x14ac:dyDescent="0.3">
      <c r="A279" s="90"/>
      <c r="C279" s="101"/>
      <c r="D279" s="101"/>
      <c r="E279" s="101"/>
      <c r="F279" s="101"/>
    </row>
    <row r="280" spans="1:6" ht="15.6" x14ac:dyDescent="0.3">
      <c r="A280" s="90"/>
      <c r="D280" s="91"/>
    </row>
    <row r="281" spans="1:6" ht="24" customHeight="1" x14ac:dyDescent="0.3">
      <c r="A281" s="90"/>
      <c r="C281" s="98" t="s">
        <v>615</v>
      </c>
      <c r="D281" s="99">
        <f>_o24</f>
        <v>0</v>
      </c>
      <c r="E281" s="100"/>
      <c r="F281" s="100"/>
    </row>
    <row r="282" spans="1:6" x14ac:dyDescent="0.3">
      <c r="A282" s="90"/>
    </row>
    <row r="283" spans="1:6" x14ac:dyDescent="0.3">
      <c r="A283" s="90"/>
      <c r="C283" s="101"/>
      <c r="D283" s="101" t="str">
        <f ca="1">' '!$A$364</f>
        <v>Beschreibung/Bemerkungen</v>
      </c>
      <c r="E283" s="101"/>
      <c r="F283" s="101"/>
    </row>
    <row r="284" spans="1:6" x14ac:dyDescent="0.3">
      <c r="A284" s="90"/>
      <c r="C284" s="1121"/>
      <c r="D284" s="1121"/>
      <c r="E284" s="1121"/>
      <c r="F284" s="1121"/>
    </row>
    <row r="285" spans="1:6" x14ac:dyDescent="0.3">
      <c r="A285" s="90"/>
      <c r="C285" s="101"/>
      <c r="D285" s="101" t="str">
        <f ca="1">' '!$A$363</f>
        <v>Berechnung</v>
      </c>
      <c r="E285" s="101"/>
      <c r="F285" s="101"/>
    </row>
    <row r="286" spans="1:6" x14ac:dyDescent="0.3">
      <c r="A286" s="90"/>
      <c r="C286" s="1121"/>
      <c r="D286" s="1121"/>
      <c r="E286" s="1121" t="s">
        <v>695</v>
      </c>
      <c r="F286" s="1121"/>
    </row>
    <row r="287" spans="1:6" x14ac:dyDescent="0.3">
      <c r="A287" s="90"/>
      <c r="C287" s="101"/>
      <c r="D287" s="102" t="str">
        <f ca="1">' '!$A$365</f>
        <v>Quelle</v>
      </c>
      <c r="E287" s="101" t="str">
        <f ca="1">' '!$A$366</f>
        <v>Erhebungszeitpunkt &amp; Branchenvergleich</v>
      </c>
      <c r="F287" s="101"/>
    </row>
    <row r="288" spans="1:6" x14ac:dyDescent="0.3">
      <c r="A288" s="90"/>
      <c r="C288" s="1122"/>
      <c r="D288" s="1123"/>
      <c r="E288" s="1122"/>
      <c r="F288" s="1123"/>
    </row>
    <row r="289" spans="1:6" x14ac:dyDescent="0.3">
      <c r="A289" s="90"/>
      <c r="C289" s="1122"/>
      <c r="D289" s="1123"/>
      <c r="E289" s="1122"/>
      <c r="F289" s="1123"/>
    </row>
    <row r="290" spans="1:6" x14ac:dyDescent="0.3">
      <c r="A290" s="90"/>
      <c r="C290" s="1122"/>
      <c r="D290" s="1123"/>
      <c r="E290" s="1122"/>
      <c r="F290" s="1123"/>
    </row>
    <row r="291" spans="1:6" x14ac:dyDescent="0.3">
      <c r="A291" s="90"/>
      <c r="C291" s="101"/>
      <c r="D291" s="101"/>
      <c r="E291" s="101"/>
      <c r="F291" s="101"/>
    </row>
    <row r="292" spans="1:6" ht="15.6" x14ac:dyDescent="0.3">
      <c r="A292" s="90"/>
      <c r="D292" s="91"/>
    </row>
    <row r="293" spans="1:6" ht="24" customHeight="1" x14ac:dyDescent="0.3">
      <c r="A293" s="90"/>
      <c r="C293" s="98" t="s">
        <v>616</v>
      </c>
      <c r="D293" s="99">
        <f>_o25</f>
        <v>0</v>
      </c>
      <c r="E293" s="100"/>
      <c r="F293" s="100"/>
    </row>
    <row r="294" spans="1:6" x14ac:dyDescent="0.3">
      <c r="A294" s="90"/>
    </row>
    <row r="295" spans="1:6" x14ac:dyDescent="0.3">
      <c r="A295" s="90"/>
      <c r="C295" s="101"/>
      <c r="D295" s="101" t="str">
        <f ca="1">' '!$A$364</f>
        <v>Beschreibung/Bemerkungen</v>
      </c>
      <c r="E295" s="101"/>
      <c r="F295" s="101"/>
    </row>
    <row r="296" spans="1:6" x14ac:dyDescent="0.3">
      <c r="A296" s="90"/>
      <c r="C296" s="1121"/>
      <c r="D296" s="1121"/>
      <c r="E296" s="1121"/>
      <c r="F296" s="1121"/>
    </row>
    <row r="297" spans="1:6" x14ac:dyDescent="0.3">
      <c r="A297" s="90"/>
      <c r="C297" s="101"/>
      <c r="D297" s="101" t="str">
        <f ca="1">' '!$A$363</f>
        <v>Berechnung</v>
      </c>
      <c r="E297" s="101"/>
      <c r="F297" s="101"/>
    </row>
    <row r="298" spans="1:6" x14ac:dyDescent="0.3">
      <c r="A298" s="90"/>
      <c r="C298" s="1121"/>
      <c r="D298" s="1121"/>
      <c r="E298" s="1121" t="s">
        <v>695</v>
      </c>
      <c r="F298" s="1121"/>
    </row>
    <row r="299" spans="1:6" x14ac:dyDescent="0.3">
      <c r="A299" s="90"/>
      <c r="C299" s="101"/>
      <c r="D299" s="102" t="str">
        <f ca="1">' '!$A$365</f>
        <v>Quelle</v>
      </c>
      <c r="E299" s="101" t="str">
        <f ca="1">' '!$A$366</f>
        <v>Erhebungszeitpunkt &amp; Branchenvergleich</v>
      </c>
      <c r="F299" s="101"/>
    </row>
    <row r="300" spans="1:6" x14ac:dyDescent="0.3">
      <c r="A300" s="90"/>
      <c r="C300" s="1122"/>
      <c r="D300" s="1123"/>
      <c r="E300" s="1122"/>
      <c r="F300" s="1123"/>
    </row>
    <row r="301" spans="1:6" x14ac:dyDescent="0.3">
      <c r="A301" s="90"/>
      <c r="C301" s="1122"/>
      <c r="D301" s="1123"/>
      <c r="E301" s="1122"/>
      <c r="F301" s="1123"/>
    </row>
    <row r="302" spans="1:6" x14ac:dyDescent="0.3">
      <c r="A302" s="90"/>
      <c r="C302" s="1122"/>
      <c r="D302" s="1123"/>
      <c r="E302" s="1122"/>
      <c r="F302" s="1123"/>
    </row>
    <row r="303" spans="1:6" x14ac:dyDescent="0.3">
      <c r="A303" s="90"/>
      <c r="C303" s="101"/>
      <c r="D303" s="101"/>
      <c r="E303" s="101"/>
      <c r="F303" s="101"/>
    </row>
    <row r="304" spans="1:6" ht="15.6" x14ac:dyDescent="0.3">
      <c r="A304" s="90"/>
      <c r="D304" s="91"/>
    </row>
    <row r="305" spans="1:6" ht="24" customHeight="1" x14ac:dyDescent="0.3">
      <c r="A305" s="90"/>
      <c r="C305" s="98" t="s">
        <v>617</v>
      </c>
      <c r="D305" s="99">
        <f>_o26</f>
        <v>0</v>
      </c>
      <c r="E305" s="100"/>
      <c r="F305" s="100"/>
    </row>
    <row r="306" spans="1:6" x14ac:dyDescent="0.3">
      <c r="A306" s="90"/>
    </row>
    <row r="307" spans="1:6" x14ac:dyDescent="0.3">
      <c r="A307" s="90"/>
      <c r="C307" s="101"/>
      <c r="D307" s="101" t="str">
        <f ca="1">' '!$A$364</f>
        <v>Beschreibung/Bemerkungen</v>
      </c>
      <c r="E307" s="101"/>
      <c r="F307" s="101"/>
    </row>
    <row r="308" spans="1:6" x14ac:dyDescent="0.3">
      <c r="A308" s="90"/>
      <c r="C308" s="1121"/>
      <c r="D308" s="1121"/>
      <c r="E308" s="1121"/>
      <c r="F308" s="1121"/>
    </row>
    <row r="309" spans="1:6" x14ac:dyDescent="0.3">
      <c r="A309" s="90"/>
      <c r="C309" s="101"/>
      <c r="D309" s="101" t="str">
        <f ca="1">' '!$A$363</f>
        <v>Berechnung</v>
      </c>
      <c r="E309" s="101"/>
      <c r="F309" s="101"/>
    </row>
    <row r="310" spans="1:6" x14ac:dyDescent="0.3">
      <c r="A310" s="90"/>
      <c r="C310" s="1121"/>
      <c r="D310" s="1121"/>
      <c r="E310" s="1121" t="s">
        <v>695</v>
      </c>
      <c r="F310" s="1121"/>
    </row>
    <row r="311" spans="1:6" x14ac:dyDescent="0.3">
      <c r="A311" s="90"/>
      <c r="C311" s="101"/>
      <c r="D311" s="102" t="str">
        <f ca="1">' '!$A$365</f>
        <v>Quelle</v>
      </c>
      <c r="E311" s="101" t="str">
        <f ca="1">' '!$A$366</f>
        <v>Erhebungszeitpunkt &amp; Branchenvergleich</v>
      </c>
      <c r="F311" s="101"/>
    </row>
    <row r="312" spans="1:6" x14ac:dyDescent="0.3">
      <c r="A312" s="90"/>
      <c r="C312" s="1122"/>
      <c r="D312" s="1123"/>
      <c r="E312" s="1122"/>
      <c r="F312" s="1123"/>
    </row>
    <row r="313" spans="1:6" x14ac:dyDescent="0.3">
      <c r="A313" s="90"/>
      <c r="C313" s="1122"/>
      <c r="D313" s="1123"/>
      <c r="E313" s="1122"/>
      <c r="F313" s="1123"/>
    </row>
    <row r="314" spans="1:6" x14ac:dyDescent="0.3">
      <c r="A314" s="90"/>
      <c r="C314" s="1122"/>
      <c r="D314" s="1123"/>
      <c r="E314" s="1122"/>
      <c r="F314" s="1123"/>
    </row>
    <row r="315" spans="1:6" x14ac:dyDescent="0.3">
      <c r="A315" s="90"/>
      <c r="C315" s="101"/>
      <c r="D315" s="101"/>
      <c r="E315" s="101"/>
      <c r="F315" s="101"/>
    </row>
    <row r="316" spans="1:6" ht="15.6" x14ac:dyDescent="0.3">
      <c r="A316" s="90"/>
      <c r="D316" s="91"/>
    </row>
    <row r="317" spans="1:6" ht="24" customHeight="1" x14ac:dyDescent="0.3">
      <c r="A317" s="90"/>
      <c r="C317" s="98" t="s">
        <v>618</v>
      </c>
      <c r="D317" s="99">
        <f>_o27</f>
        <v>0</v>
      </c>
      <c r="E317" s="100"/>
      <c r="F317" s="100"/>
    </row>
    <row r="318" spans="1:6" x14ac:dyDescent="0.3">
      <c r="A318" s="90"/>
    </row>
    <row r="319" spans="1:6" x14ac:dyDescent="0.3">
      <c r="A319" s="90"/>
      <c r="C319" s="101"/>
      <c r="D319" s="101" t="str">
        <f ca="1">' '!$A$364</f>
        <v>Beschreibung/Bemerkungen</v>
      </c>
      <c r="E319" s="101"/>
      <c r="F319" s="101"/>
    </row>
    <row r="320" spans="1:6" x14ac:dyDescent="0.3">
      <c r="A320" s="90"/>
      <c r="C320" s="1121"/>
      <c r="D320" s="1121"/>
      <c r="E320" s="1121"/>
      <c r="F320" s="1121"/>
    </row>
    <row r="321" spans="1:6" x14ac:dyDescent="0.3">
      <c r="A321" s="90"/>
      <c r="C321" s="101"/>
      <c r="D321" s="101" t="str">
        <f ca="1">' '!$A$363</f>
        <v>Berechnung</v>
      </c>
      <c r="E321" s="101"/>
      <c r="F321" s="101"/>
    </row>
    <row r="322" spans="1:6" x14ac:dyDescent="0.3">
      <c r="A322" s="90"/>
      <c r="C322" s="1121"/>
      <c r="D322" s="1121"/>
      <c r="E322" s="1121" t="s">
        <v>695</v>
      </c>
      <c r="F322" s="1121"/>
    </row>
    <row r="323" spans="1:6" x14ac:dyDescent="0.3">
      <c r="A323" s="90"/>
      <c r="C323" s="101"/>
      <c r="D323" s="102" t="str">
        <f ca="1">' '!$A$365</f>
        <v>Quelle</v>
      </c>
      <c r="E323" s="101" t="str">
        <f ca="1">' '!$A$366</f>
        <v>Erhebungszeitpunkt &amp; Branchenvergleich</v>
      </c>
      <c r="F323" s="101"/>
    </row>
    <row r="324" spans="1:6" x14ac:dyDescent="0.3">
      <c r="A324" s="90"/>
      <c r="C324" s="1122"/>
      <c r="D324" s="1123"/>
      <c r="E324" s="1122"/>
      <c r="F324" s="1123"/>
    </row>
    <row r="325" spans="1:6" x14ac:dyDescent="0.3">
      <c r="A325" s="90"/>
      <c r="C325" s="1122"/>
      <c r="D325" s="1123"/>
      <c r="E325" s="1122"/>
      <c r="F325" s="1123"/>
    </row>
    <row r="326" spans="1:6" x14ac:dyDescent="0.3">
      <c r="A326" s="90"/>
      <c r="C326" s="1122"/>
      <c r="D326" s="1123"/>
      <c r="E326" s="1122"/>
      <c r="F326" s="1123"/>
    </row>
    <row r="327" spans="1:6" x14ac:dyDescent="0.3">
      <c r="A327" s="90"/>
      <c r="C327" s="101"/>
      <c r="D327" s="101"/>
      <c r="E327" s="101"/>
      <c r="F327" s="101"/>
    </row>
    <row r="328" spans="1:6" ht="15.6" x14ac:dyDescent="0.3">
      <c r="A328" s="90"/>
      <c r="D328" s="91"/>
    </row>
    <row r="329" spans="1:6" ht="24" customHeight="1" x14ac:dyDescent="0.3">
      <c r="A329" s="90"/>
      <c r="C329" s="98" t="s">
        <v>619</v>
      </c>
      <c r="D329" s="99">
        <f>_o28</f>
        <v>0</v>
      </c>
      <c r="E329" s="100"/>
      <c r="F329" s="100"/>
    </row>
    <row r="330" spans="1:6" x14ac:dyDescent="0.3">
      <c r="A330" s="90"/>
    </row>
    <row r="331" spans="1:6" x14ac:dyDescent="0.3">
      <c r="A331" s="90"/>
      <c r="C331" s="101"/>
      <c r="D331" s="101" t="str">
        <f ca="1">' '!$A$364</f>
        <v>Beschreibung/Bemerkungen</v>
      </c>
      <c r="E331" s="101"/>
      <c r="F331" s="101"/>
    </row>
    <row r="332" spans="1:6" x14ac:dyDescent="0.3">
      <c r="A332" s="90"/>
      <c r="C332" s="1121"/>
      <c r="D332" s="1121"/>
      <c r="E332" s="1121"/>
      <c r="F332" s="1121"/>
    </row>
    <row r="333" spans="1:6" x14ac:dyDescent="0.3">
      <c r="A333" s="90"/>
      <c r="C333" s="101"/>
      <c r="D333" s="101" t="str">
        <f ca="1">' '!$A$363</f>
        <v>Berechnung</v>
      </c>
      <c r="E333" s="101"/>
      <c r="F333" s="101"/>
    </row>
    <row r="334" spans="1:6" x14ac:dyDescent="0.3">
      <c r="A334" s="90"/>
      <c r="C334" s="1121"/>
      <c r="D334" s="1121"/>
      <c r="E334" s="1121" t="s">
        <v>695</v>
      </c>
      <c r="F334" s="1121"/>
    </row>
    <row r="335" spans="1:6" x14ac:dyDescent="0.3">
      <c r="A335" s="90"/>
      <c r="C335" s="101"/>
      <c r="D335" s="102" t="str">
        <f ca="1">' '!$A$365</f>
        <v>Quelle</v>
      </c>
      <c r="E335" s="101" t="str">
        <f ca="1">' '!$A$366</f>
        <v>Erhebungszeitpunkt &amp; Branchenvergleich</v>
      </c>
      <c r="F335" s="101"/>
    </row>
    <row r="336" spans="1:6" x14ac:dyDescent="0.3">
      <c r="A336" s="90"/>
      <c r="C336" s="1122"/>
      <c r="D336" s="1123"/>
      <c r="E336" s="1122"/>
      <c r="F336" s="1123"/>
    </row>
    <row r="337" spans="1:6" x14ac:dyDescent="0.3">
      <c r="A337" s="90"/>
      <c r="C337" s="1122"/>
      <c r="D337" s="1123"/>
      <c r="E337" s="1122"/>
      <c r="F337" s="1123"/>
    </row>
    <row r="338" spans="1:6" x14ac:dyDescent="0.3">
      <c r="A338" s="90"/>
      <c r="C338" s="1122"/>
      <c r="D338" s="1123"/>
      <c r="E338" s="1122"/>
      <c r="F338" s="1123"/>
    </row>
    <row r="339" spans="1:6" x14ac:dyDescent="0.3">
      <c r="A339" s="90"/>
      <c r="C339" s="101"/>
      <c r="D339" s="101"/>
      <c r="E339" s="101"/>
      <c r="F339" s="101"/>
    </row>
    <row r="340" spans="1:6" ht="15.6" x14ac:dyDescent="0.3">
      <c r="A340" s="90"/>
      <c r="D340" s="91"/>
    </row>
    <row r="341" spans="1:6" ht="24" customHeight="1" x14ac:dyDescent="0.3">
      <c r="A341" s="90"/>
      <c r="C341" s="98" t="s">
        <v>620</v>
      </c>
      <c r="D341" s="99">
        <f>_o29</f>
        <v>0</v>
      </c>
      <c r="E341" s="100"/>
      <c r="F341" s="100"/>
    </row>
    <row r="342" spans="1:6" x14ac:dyDescent="0.3">
      <c r="A342" s="90"/>
    </row>
    <row r="343" spans="1:6" x14ac:dyDescent="0.3">
      <c r="A343" s="90"/>
      <c r="C343" s="101"/>
      <c r="D343" s="101" t="str">
        <f ca="1">' '!$A$364</f>
        <v>Beschreibung/Bemerkungen</v>
      </c>
      <c r="E343" s="101"/>
      <c r="F343" s="101"/>
    </row>
    <row r="344" spans="1:6" x14ac:dyDescent="0.3">
      <c r="A344" s="90"/>
      <c r="C344" s="1121"/>
      <c r="D344" s="1121"/>
      <c r="E344" s="1121"/>
      <c r="F344" s="1121"/>
    </row>
    <row r="345" spans="1:6" x14ac:dyDescent="0.3">
      <c r="A345" s="90"/>
      <c r="C345" s="101"/>
      <c r="D345" s="101" t="str">
        <f ca="1">' '!$A$363</f>
        <v>Berechnung</v>
      </c>
      <c r="E345" s="101"/>
      <c r="F345" s="101"/>
    </row>
    <row r="346" spans="1:6" x14ac:dyDescent="0.3">
      <c r="A346" s="90"/>
      <c r="C346" s="1121"/>
      <c r="D346" s="1121"/>
      <c r="E346" s="1121" t="s">
        <v>695</v>
      </c>
      <c r="F346" s="1121"/>
    </row>
    <row r="347" spans="1:6" x14ac:dyDescent="0.3">
      <c r="A347" s="90"/>
      <c r="C347" s="101"/>
      <c r="D347" s="102" t="str">
        <f ca="1">' '!$A$365</f>
        <v>Quelle</v>
      </c>
      <c r="E347" s="101" t="str">
        <f ca="1">' '!$A$366</f>
        <v>Erhebungszeitpunkt &amp; Branchenvergleich</v>
      </c>
      <c r="F347" s="101"/>
    </row>
    <row r="348" spans="1:6" x14ac:dyDescent="0.3">
      <c r="A348" s="90"/>
      <c r="C348" s="1122"/>
      <c r="D348" s="1123"/>
      <c r="E348" s="1122"/>
      <c r="F348" s="1123"/>
    </row>
    <row r="349" spans="1:6" x14ac:dyDescent="0.3">
      <c r="A349" s="90"/>
      <c r="C349" s="1122"/>
      <c r="D349" s="1123"/>
      <c r="E349" s="1122"/>
      <c r="F349" s="1123"/>
    </row>
    <row r="350" spans="1:6" x14ac:dyDescent="0.3">
      <c r="A350" s="90"/>
      <c r="C350" s="1122"/>
      <c r="D350" s="1123"/>
      <c r="E350" s="1122"/>
      <c r="F350" s="1123"/>
    </row>
    <row r="351" spans="1:6" x14ac:dyDescent="0.3">
      <c r="A351" s="90"/>
      <c r="C351" s="101"/>
      <c r="D351" s="101"/>
      <c r="E351" s="101"/>
      <c r="F351" s="101"/>
    </row>
    <row r="352" spans="1:6" ht="15.6" x14ac:dyDescent="0.3">
      <c r="A352" s="90"/>
      <c r="D352" s="91"/>
    </row>
    <row r="353" spans="1:6" ht="24" customHeight="1" x14ac:dyDescent="0.3">
      <c r="A353" s="90"/>
      <c r="C353" s="98" t="s">
        <v>621</v>
      </c>
      <c r="D353" s="99">
        <f>_o30</f>
        <v>0</v>
      </c>
      <c r="E353" s="100"/>
      <c r="F353" s="100"/>
    </row>
    <row r="354" spans="1:6" x14ac:dyDescent="0.3">
      <c r="A354" s="90"/>
    </row>
    <row r="355" spans="1:6" x14ac:dyDescent="0.3">
      <c r="A355" s="90"/>
      <c r="C355" s="101"/>
      <c r="D355" s="101" t="str">
        <f ca="1">' '!$A$364</f>
        <v>Beschreibung/Bemerkungen</v>
      </c>
      <c r="E355" s="101"/>
      <c r="F355" s="101"/>
    </row>
    <row r="356" spans="1:6" x14ac:dyDescent="0.3">
      <c r="A356" s="90"/>
      <c r="C356" s="1121"/>
      <c r="D356" s="1121"/>
      <c r="E356" s="1121"/>
      <c r="F356" s="1121"/>
    </row>
    <row r="357" spans="1:6" x14ac:dyDescent="0.3">
      <c r="A357" s="90"/>
      <c r="C357" s="101"/>
      <c r="D357" s="101" t="str">
        <f ca="1">' '!$A$363</f>
        <v>Berechnung</v>
      </c>
      <c r="E357" s="101"/>
      <c r="F357" s="101"/>
    </row>
    <row r="358" spans="1:6" x14ac:dyDescent="0.3">
      <c r="A358" s="90"/>
      <c r="C358" s="1121"/>
      <c r="D358" s="1121"/>
      <c r="E358" s="1121" t="s">
        <v>695</v>
      </c>
      <c r="F358" s="1121"/>
    </row>
    <row r="359" spans="1:6" x14ac:dyDescent="0.3">
      <c r="A359" s="90"/>
      <c r="C359" s="101"/>
      <c r="D359" s="102" t="str">
        <f ca="1">' '!$A$365</f>
        <v>Quelle</v>
      </c>
      <c r="E359" s="101" t="str">
        <f ca="1">' '!$A$366</f>
        <v>Erhebungszeitpunkt &amp; Branchenvergleich</v>
      </c>
      <c r="F359" s="101"/>
    </row>
    <row r="360" spans="1:6" x14ac:dyDescent="0.3">
      <c r="A360" s="90"/>
      <c r="C360" s="1122"/>
      <c r="D360" s="1123"/>
      <c r="E360" s="1122"/>
      <c r="F360" s="1123"/>
    </row>
    <row r="361" spans="1:6" x14ac:dyDescent="0.3">
      <c r="A361" s="90"/>
      <c r="C361" s="1122"/>
      <c r="D361" s="1123"/>
      <c r="E361" s="1122"/>
      <c r="F361" s="1123"/>
    </row>
    <row r="362" spans="1:6" x14ac:dyDescent="0.3">
      <c r="A362" s="90"/>
      <c r="C362" s="1122"/>
      <c r="D362" s="1123"/>
      <c r="E362" s="1122"/>
      <c r="F362" s="1123"/>
    </row>
    <row r="363" spans="1:6" x14ac:dyDescent="0.3">
      <c r="A363" s="90"/>
      <c r="C363" s="101"/>
      <c r="D363" s="101"/>
      <c r="E363" s="101"/>
      <c r="F363" s="101"/>
    </row>
    <row r="364" spans="1:6" ht="15.6" x14ac:dyDescent="0.3">
      <c r="A364" s="90"/>
      <c r="D364" s="91"/>
    </row>
    <row r="365" spans="1:6" ht="24" customHeight="1" x14ac:dyDescent="0.3">
      <c r="A365" s="90"/>
      <c r="C365" s="98" t="s">
        <v>622</v>
      </c>
      <c r="D365" s="99">
        <f>_o31</f>
        <v>0</v>
      </c>
      <c r="E365" s="100"/>
      <c r="F365" s="100"/>
    </row>
    <row r="366" spans="1:6" x14ac:dyDescent="0.3">
      <c r="A366" s="90"/>
    </row>
    <row r="367" spans="1:6" x14ac:dyDescent="0.3">
      <c r="A367" s="90"/>
      <c r="C367" s="101"/>
      <c r="D367" s="101" t="str">
        <f ca="1">' '!$A$364</f>
        <v>Beschreibung/Bemerkungen</v>
      </c>
      <c r="E367" s="101"/>
      <c r="F367" s="101"/>
    </row>
    <row r="368" spans="1:6" x14ac:dyDescent="0.3">
      <c r="A368" s="90"/>
      <c r="C368" s="1121"/>
      <c r="D368" s="1121"/>
      <c r="E368" s="1121"/>
      <c r="F368" s="1121"/>
    </row>
    <row r="369" spans="1:6" x14ac:dyDescent="0.3">
      <c r="A369" s="90"/>
      <c r="C369" s="101"/>
      <c r="D369" s="101" t="str">
        <f ca="1">' '!$A$363</f>
        <v>Berechnung</v>
      </c>
      <c r="E369" s="101"/>
      <c r="F369" s="101"/>
    </row>
    <row r="370" spans="1:6" x14ac:dyDescent="0.3">
      <c r="A370" s="90"/>
      <c r="C370" s="1121"/>
      <c r="D370" s="1121"/>
      <c r="E370" s="1121" t="s">
        <v>695</v>
      </c>
      <c r="F370" s="1121"/>
    </row>
    <row r="371" spans="1:6" x14ac:dyDescent="0.3">
      <c r="A371" s="90"/>
      <c r="C371" s="101"/>
      <c r="D371" s="102" t="str">
        <f ca="1">' '!$A$365</f>
        <v>Quelle</v>
      </c>
      <c r="E371" s="101" t="str">
        <f ca="1">' '!$A$366</f>
        <v>Erhebungszeitpunkt &amp; Branchenvergleich</v>
      </c>
      <c r="F371" s="101"/>
    </row>
    <row r="372" spans="1:6" x14ac:dyDescent="0.3">
      <c r="A372" s="90"/>
      <c r="C372" s="1122"/>
      <c r="D372" s="1123"/>
      <c r="E372" s="1122"/>
      <c r="F372" s="1123"/>
    </row>
    <row r="373" spans="1:6" x14ac:dyDescent="0.3">
      <c r="A373" s="90"/>
      <c r="C373" s="1122"/>
      <c r="D373" s="1123"/>
      <c r="E373" s="1122"/>
      <c r="F373" s="1123"/>
    </row>
    <row r="374" spans="1:6" x14ac:dyDescent="0.3">
      <c r="A374" s="90"/>
      <c r="C374" s="1122"/>
      <c r="D374" s="1123"/>
      <c r="E374" s="1122"/>
      <c r="F374" s="1123"/>
    </row>
    <row r="375" spans="1:6" x14ac:dyDescent="0.3">
      <c r="A375" s="90"/>
      <c r="C375" s="101"/>
      <c r="D375" s="101"/>
      <c r="E375" s="101"/>
      <c r="F375" s="101"/>
    </row>
    <row r="376" spans="1:6" ht="15.6" x14ac:dyDescent="0.3">
      <c r="A376" s="90"/>
      <c r="D376" s="91"/>
    </row>
    <row r="377" spans="1:6" ht="24" customHeight="1" x14ac:dyDescent="0.3">
      <c r="A377" s="90"/>
      <c r="C377" s="98" t="s">
        <v>623</v>
      </c>
      <c r="D377" s="99">
        <f>_o32</f>
        <v>0</v>
      </c>
      <c r="E377" s="100"/>
      <c r="F377" s="100"/>
    </row>
    <row r="378" spans="1:6" x14ac:dyDescent="0.3">
      <c r="A378" s="90"/>
    </row>
    <row r="379" spans="1:6" x14ac:dyDescent="0.3">
      <c r="A379" s="90"/>
      <c r="C379" s="101"/>
      <c r="D379" s="101" t="str">
        <f ca="1">' '!$A$364</f>
        <v>Beschreibung/Bemerkungen</v>
      </c>
      <c r="E379" s="101"/>
      <c r="F379" s="101"/>
    </row>
    <row r="380" spans="1:6" x14ac:dyDescent="0.3">
      <c r="A380" s="90"/>
      <c r="C380" s="1121"/>
      <c r="D380" s="1121"/>
      <c r="E380" s="1121"/>
      <c r="F380" s="1121"/>
    </row>
    <row r="381" spans="1:6" x14ac:dyDescent="0.3">
      <c r="A381" s="90"/>
      <c r="C381" s="101"/>
      <c r="D381" s="101" t="str">
        <f ca="1">' '!$A$363</f>
        <v>Berechnung</v>
      </c>
      <c r="E381" s="101"/>
      <c r="F381" s="101"/>
    </row>
    <row r="382" spans="1:6" x14ac:dyDescent="0.3">
      <c r="A382" s="90"/>
      <c r="C382" s="1121"/>
      <c r="D382" s="1121"/>
      <c r="E382" s="1121" t="s">
        <v>695</v>
      </c>
      <c r="F382" s="1121"/>
    </row>
    <row r="383" spans="1:6" x14ac:dyDescent="0.3">
      <c r="A383" s="90"/>
      <c r="C383" s="101"/>
      <c r="D383" s="102" t="str">
        <f ca="1">' '!$A$365</f>
        <v>Quelle</v>
      </c>
      <c r="E383" s="101" t="str">
        <f ca="1">' '!$A$366</f>
        <v>Erhebungszeitpunkt &amp; Branchenvergleich</v>
      </c>
      <c r="F383" s="101"/>
    </row>
    <row r="384" spans="1:6" x14ac:dyDescent="0.3">
      <c r="A384" s="90"/>
      <c r="C384" s="1122"/>
      <c r="D384" s="1123"/>
      <c r="E384" s="1122"/>
      <c r="F384" s="1123"/>
    </row>
    <row r="385" spans="1:6" x14ac:dyDescent="0.3">
      <c r="A385" s="90"/>
      <c r="C385" s="1122"/>
      <c r="D385" s="1123"/>
      <c r="E385" s="1122"/>
      <c r="F385" s="1123"/>
    </row>
    <row r="386" spans="1:6" x14ac:dyDescent="0.3">
      <c r="A386" s="90"/>
      <c r="C386" s="1122"/>
      <c r="D386" s="1123"/>
      <c r="E386" s="1122"/>
      <c r="F386" s="1123"/>
    </row>
    <row r="387" spans="1:6" x14ac:dyDescent="0.3">
      <c r="A387" s="90"/>
      <c r="C387" s="101"/>
      <c r="D387" s="101"/>
      <c r="E387" s="101"/>
      <c r="F387" s="101"/>
    </row>
    <row r="388" spans="1:6" ht="15.6" x14ac:dyDescent="0.3">
      <c r="A388" s="90"/>
      <c r="D388" s="91"/>
    </row>
    <row r="389" spans="1:6" ht="24" customHeight="1" x14ac:dyDescent="0.3">
      <c r="A389" s="90"/>
      <c r="C389" s="98" t="s">
        <v>624</v>
      </c>
      <c r="D389" s="99">
        <f>_o33</f>
        <v>0</v>
      </c>
      <c r="E389" s="100"/>
      <c r="F389" s="100"/>
    </row>
    <row r="390" spans="1:6" x14ac:dyDescent="0.3">
      <c r="A390" s="90"/>
    </row>
    <row r="391" spans="1:6" x14ac:dyDescent="0.3">
      <c r="A391" s="90"/>
      <c r="C391" s="101"/>
      <c r="D391" s="101" t="str">
        <f ca="1">' '!$A$364</f>
        <v>Beschreibung/Bemerkungen</v>
      </c>
      <c r="E391" s="101"/>
      <c r="F391" s="101"/>
    </row>
    <row r="392" spans="1:6" x14ac:dyDescent="0.3">
      <c r="A392" s="90"/>
      <c r="C392" s="1121"/>
      <c r="D392" s="1121"/>
      <c r="E392" s="1121"/>
      <c r="F392" s="1121"/>
    </row>
    <row r="393" spans="1:6" x14ac:dyDescent="0.3">
      <c r="A393" s="90"/>
      <c r="C393" s="101"/>
      <c r="D393" s="101" t="str">
        <f ca="1">' '!$A$363</f>
        <v>Berechnung</v>
      </c>
      <c r="E393" s="101"/>
      <c r="F393" s="101"/>
    </row>
    <row r="394" spans="1:6" x14ac:dyDescent="0.3">
      <c r="A394" s="90"/>
      <c r="C394" s="1121"/>
      <c r="D394" s="1121"/>
      <c r="E394" s="1121" t="s">
        <v>695</v>
      </c>
      <c r="F394" s="1121"/>
    </row>
    <row r="395" spans="1:6" x14ac:dyDescent="0.3">
      <c r="A395" s="90"/>
      <c r="C395" s="101"/>
      <c r="D395" s="102" t="str">
        <f ca="1">' '!$A$365</f>
        <v>Quelle</v>
      </c>
      <c r="E395" s="101" t="str">
        <f ca="1">' '!$A$366</f>
        <v>Erhebungszeitpunkt &amp; Branchenvergleich</v>
      </c>
      <c r="F395" s="101"/>
    </row>
    <row r="396" spans="1:6" x14ac:dyDescent="0.3">
      <c r="A396" s="90"/>
      <c r="C396" s="1122"/>
      <c r="D396" s="1123"/>
      <c r="E396" s="1122"/>
      <c r="F396" s="1123"/>
    </row>
    <row r="397" spans="1:6" x14ac:dyDescent="0.3">
      <c r="A397" s="90"/>
      <c r="C397" s="1122"/>
      <c r="D397" s="1123"/>
      <c r="E397" s="1122"/>
      <c r="F397" s="1123"/>
    </row>
    <row r="398" spans="1:6" x14ac:dyDescent="0.3">
      <c r="A398" s="90"/>
      <c r="C398" s="1122"/>
      <c r="D398" s="1123"/>
      <c r="E398" s="1122"/>
      <c r="F398" s="1123"/>
    </row>
    <row r="399" spans="1:6" x14ac:dyDescent="0.3">
      <c r="A399" s="90"/>
      <c r="C399" s="101"/>
      <c r="D399" s="101"/>
      <c r="E399" s="101"/>
      <c r="F399" s="101"/>
    </row>
    <row r="400" spans="1:6" ht="15.6" x14ac:dyDescent="0.3">
      <c r="A400" s="90"/>
      <c r="D400" s="91"/>
    </row>
    <row r="401" spans="1:6" ht="24" customHeight="1" x14ac:dyDescent="0.3">
      <c r="A401" s="90"/>
      <c r="C401" s="98" t="s">
        <v>625</v>
      </c>
      <c r="D401" s="99">
        <f>_o34</f>
        <v>0</v>
      </c>
      <c r="E401" s="100"/>
      <c r="F401" s="100"/>
    </row>
    <row r="402" spans="1:6" x14ac:dyDescent="0.3">
      <c r="A402" s="90"/>
    </row>
    <row r="403" spans="1:6" x14ac:dyDescent="0.3">
      <c r="A403" s="90"/>
      <c r="C403" s="101"/>
      <c r="D403" s="101" t="str">
        <f ca="1">' '!$A$364</f>
        <v>Beschreibung/Bemerkungen</v>
      </c>
      <c r="E403" s="101"/>
      <c r="F403" s="101"/>
    </row>
    <row r="404" spans="1:6" x14ac:dyDescent="0.3">
      <c r="A404" s="90"/>
      <c r="C404" s="1121"/>
      <c r="D404" s="1121"/>
      <c r="E404" s="1121"/>
      <c r="F404" s="1121"/>
    </row>
    <row r="405" spans="1:6" x14ac:dyDescent="0.3">
      <c r="A405" s="90"/>
      <c r="C405" s="101"/>
      <c r="D405" s="101" t="str">
        <f ca="1">' '!$A$363</f>
        <v>Berechnung</v>
      </c>
      <c r="E405" s="101"/>
      <c r="F405" s="101"/>
    </row>
    <row r="406" spans="1:6" x14ac:dyDescent="0.3">
      <c r="A406" s="90"/>
      <c r="C406" s="1121"/>
      <c r="D406" s="1121"/>
      <c r="E406" s="1121" t="s">
        <v>695</v>
      </c>
      <c r="F406" s="1121"/>
    </row>
    <row r="407" spans="1:6" x14ac:dyDescent="0.3">
      <c r="A407" s="90"/>
      <c r="C407" s="101"/>
      <c r="D407" s="102" t="str">
        <f ca="1">' '!$A$365</f>
        <v>Quelle</v>
      </c>
      <c r="E407" s="101" t="str">
        <f ca="1">' '!$A$366</f>
        <v>Erhebungszeitpunkt &amp; Branchenvergleich</v>
      </c>
      <c r="F407" s="101"/>
    </row>
    <row r="408" spans="1:6" x14ac:dyDescent="0.3">
      <c r="A408" s="90"/>
      <c r="C408" s="1122"/>
      <c r="D408" s="1123"/>
      <c r="E408" s="1122"/>
      <c r="F408" s="1123"/>
    </row>
    <row r="409" spans="1:6" x14ac:dyDescent="0.3">
      <c r="A409" s="90"/>
      <c r="C409" s="1122"/>
      <c r="D409" s="1123"/>
      <c r="E409" s="1122"/>
      <c r="F409" s="1123"/>
    </row>
    <row r="410" spans="1:6" x14ac:dyDescent="0.3">
      <c r="A410" s="90"/>
      <c r="C410" s="1122"/>
      <c r="D410" s="1123"/>
      <c r="E410" s="1122"/>
      <c r="F410" s="1123"/>
    </row>
    <row r="411" spans="1:6" x14ac:dyDescent="0.3">
      <c r="A411" s="90"/>
      <c r="C411" s="101"/>
      <c r="D411" s="101"/>
      <c r="E411" s="101"/>
      <c r="F411" s="101"/>
    </row>
    <row r="412" spans="1:6" ht="15.6" x14ac:dyDescent="0.3">
      <c r="A412" s="90"/>
      <c r="D412" s="91"/>
    </row>
    <row r="413" spans="1:6" ht="24" customHeight="1" x14ac:dyDescent="0.3">
      <c r="A413" s="90"/>
      <c r="C413" s="98" t="s">
        <v>626</v>
      </c>
      <c r="D413" s="99">
        <f>_o35</f>
        <v>0</v>
      </c>
      <c r="E413" s="100"/>
      <c r="F413" s="100"/>
    </row>
    <row r="414" spans="1:6" x14ac:dyDescent="0.3">
      <c r="A414" s="90"/>
    </row>
    <row r="415" spans="1:6" x14ac:dyDescent="0.3">
      <c r="A415" s="90"/>
      <c r="C415" s="101"/>
      <c r="D415" s="101" t="str">
        <f ca="1">' '!$A$364</f>
        <v>Beschreibung/Bemerkungen</v>
      </c>
      <c r="E415" s="101"/>
      <c r="F415" s="101"/>
    </row>
    <row r="416" spans="1:6" x14ac:dyDescent="0.3">
      <c r="A416" s="90"/>
      <c r="C416" s="1121"/>
      <c r="D416" s="1121"/>
      <c r="E416" s="1121"/>
      <c r="F416" s="1121"/>
    </row>
    <row r="417" spans="1:6" x14ac:dyDescent="0.3">
      <c r="A417" s="90"/>
      <c r="C417" s="101"/>
      <c r="D417" s="101" t="str">
        <f ca="1">' '!$A$363</f>
        <v>Berechnung</v>
      </c>
      <c r="E417" s="101"/>
      <c r="F417" s="101"/>
    </row>
    <row r="418" spans="1:6" x14ac:dyDescent="0.3">
      <c r="A418" s="90"/>
      <c r="C418" s="1121"/>
      <c r="D418" s="1121"/>
      <c r="E418" s="1121" t="s">
        <v>695</v>
      </c>
      <c r="F418" s="1121"/>
    </row>
    <row r="419" spans="1:6" x14ac:dyDescent="0.3">
      <c r="A419" s="90"/>
      <c r="C419" s="101"/>
      <c r="D419" s="102" t="str">
        <f ca="1">' '!$A$365</f>
        <v>Quelle</v>
      </c>
      <c r="E419" s="101" t="str">
        <f ca="1">' '!$A$366</f>
        <v>Erhebungszeitpunkt &amp; Branchenvergleich</v>
      </c>
      <c r="F419" s="101"/>
    </row>
    <row r="420" spans="1:6" x14ac:dyDescent="0.3">
      <c r="A420" s="90"/>
      <c r="C420" s="1122"/>
      <c r="D420" s="1123"/>
      <c r="E420" s="1122"/>
      <c r="F420" s="1123"/>
    </row>
    <row r="421" spans="1:6" x14ac:dyDescent="0.3">
      <c r="A421" s="90"/>
      <c r="C421" s="1122"/>
      <c r="D421" s="1123"/>
      <c r="E421" s="1122"/>
      <c r="F421" s="1123"/>
    </row>
    <row r="422" spans="1:6" x14ac:dyDescent="0.3">
      <c r="A422" s="90"/>
      <c r="C422" s="1122"/>
      <c r="D422" s="1123"/>
      <c r="E422" s="1122"/>
      <c r="F422" s="1123"/>
    </row>
    <row r="423" spans="1:6" x14ac:dyDescent="0.3">
      <c r="A423" s="90"/>
      <c r="C423" s="101"/>
      <c r="D423" s="101"/>
      <c r="E423" s="101"/>
      <c r="F423" s="101"/>
    </row>
    <row r="424" spans="1:6" ht="15.6" x14ac:dyDescent="0.3">
      <c r="A424" s="90"/>
      <c r="D424" s="91"/>
    </row>
    <row r="425" spans="1:6" ht="24" customHeight="1" x14ac:dyDescent="0.3">
      <c r="A425" s="90"/>
      <c r="C425" s="98" t="s">
        <v>627</v>
      </c>
      <c r="D425" s="99">
        <f>_o36</f>
        <v>0</v>
      </c>
      <c r="E425" s="100"/>
      <c r="F425" s="100"/>
    </row>
    <row r="426" spans="1:6" x14ac:dyDescent="0.3">
      <c r="A426" s="90"/>
    </row>
    <row r="427" spans="1:6" x14ac:dyDescent="0.3">
      <c r="A427" s="90"/>
      <c r="C427" s="101"/>
      <c r="D427" s="101" t="str">
        <f ca="1">' '!$A$364</f>
        <v>Beschreibung/Bemerkungen</v>
      </c>
      <c r="E427" s="101"/>
      <c r="F427" s="101"/>
    </row>
    <row r="428" spans="1:6" x14ac:dyDescent="0.3">
      <c r="A428" s="90"/>
      <c r="C428" s="1121"/>
      <c r="D428" s="1121"/>
      <c r="E428" s="1121"/>
      <c r="F428" s="1121"/>
    </row>
    <row r="429" spans="1:6" x14ac:dyDescent="0.3">
      <c r="A429" s="90"/>
      <c r="C429" s="101"/>
      <c r="D429" s="101" t="str">
        <f ca="1">' '!$A$363</f>
        <v>Berechnung</v>
      </c>
      <c r="E429" s="101"/>
      <c r="F429" s="101"/>
    </row>
    <row r="430" spans="1:6" x14ac:dyDescent="0.3">
      <c r="A430" s="90"/>
      <c r="C430" s="1121"/>
      <c r="D430" s="1121"/>
      <c r="E430" s="1121" t="s">
        <v>695</v>
      </c>
      <c r="F430" s="1121"/>
    </row>
    <row r="431" spans="1:6" x14ac:dyDescent="0.3">
      <c r="A431" s="90"/>
      <c r="C431" s="101"/>
      <c r="D431" s="102" t="str">
        <f ca="1">' '!$A$365</f>
        <v>Quelle</v>
      </c>
      <c r="E431" s="101" t="str">
        <f ca="1">' '!$A$366</f>
        <v>Erhebungszeitpunkt &amp; Branchenvergleich</v>
      </c>
      <c r="F431" s="101"/>
    </row>
    <row r="432" spans="1:6" x14ac:dyDescent="0.3">
      <c r="A432" s="90"/>
      <c r="C432" s="1122"/>
      <c r="D432" s="1123"/>
      <c r="E432" s="1122"/>
      <c r="F432" s="1123"/>
    </row>
    <row r="433" spans="1:6" x14ac:dyDescent="0.3">
      <c r="A433" s="90"/>
      <c r="C433" s="1122"/>
      <c r="D433" s="1123"/>
      <c r="E433" s="1122"/>
      <c r="F433" s="1123"/>
    </row>
    <row r="434" spans="1:6" x14ac:dyDescent="0.3">
      <c r="A434" s="90"/>
      <c r="C434" s="1122"/>
      <c r="D434" s="1123"/>
      <c r="E434" s="1122"/>
      <c r="F434" s="1123"/>
    </row>
    <row r="435" spans="1:6" x14ac:dyDescent="0.3">
      <c r="A435" s="90"/>
      <c r="C435" s="101"/>
      <c r="D435" s="101"/>
      <c r="E435" s="101"/>
      <c r="F435" s="101"/>
    </row>
    <row r="436" spans="1:6" ht="15.6" x14ac:dyDescent="0.3">
      <c r="A436" s="90"/>
      <c r="D436" s="91"/>
    </row>
    <row r="437" spans="1:6" ht="24" customHeight="1" x14ac:dyDescent="0.3">
      <c r="A437" s="90"/>
      <c r="C437" s="98" t="s">
        <v>629</v>
      </c>
      <c r="D437" s="99">
        <f>_o37</f>
        <v>0</v>
      </c>
      <c r="E437" s="100"/>
      <c r="F437" s="100"/>
    </row>
    <row r="438" spans="1:6" x14ac:dyDescent="0.3">
      <c r="A438" s="90"/>
    </row>
    <row r="439" spans="1:6" x14ac:dyDescent="0.3">
      <c r="A439" s="90"/>
      <c r="C439" s="101"/>
      <c r="D439" s="101" t="str">
        <f ca="1">' '!$A$364</f>
        <v>Beschreibung/Bemerkungen</v>
      </c>
      <c r="E439" s="101"/>
      <c r="F439" s="101"/>
    </row>
    <row r="440" spans="1:6" x14ac:dyDescent="0.3">
      <c r="A440" s="90"/>
      <c r="C440" s="1121"/>
      <c r="D440" s="1121"/>
      <c r="E440" s="1121"/>
      <c r="F440" s="1121"/>
    </row>
    <row r="441" spans="1:6" x14ac:dyDescent="0.3">
      <c r="A441" s="90"/>
      <c r="C441" s="101"/>
      <c r="D441" s="101" t="str">
        <f ca="1">' '!$A$363</f>
        <v>Berechnung</v>
      </c>
      <c r="E441" s="101"/>
      <c r="F441" s="101"/>
    </row>
    <row r="442" spans="1:6" x14ac:dyDescent="0.3">
      <c r="A442" s="90"/>
      <c r="C442" s="1121"/>
      <c r="D442" s="1121"/>
      <c r="E442" s="1121"/>
      <c r="F442" s="1121"/>
    </row>
    <row r="443" spans="1:6" x14ac:dyDescent="0.3">
      <c r="A443" s="90"/>
      <c r="C443" s="101"/>
      <c r="D443" s="102" t="str">
        <f ca="1">' '!$A$365</f>
        <v>Quelle</v>
      </c>
      <c r="E443" s="101" t="str">
        <f ca="1">' '!$A$366</f>
        <v>Erhebungszeitpunkt &amp; Branchenvergleich</v>
      </c>
      <c r="F443" s="101"/>
    </row>
    <row r="444" spans="1:6" x14ac:dyDescent="0.3">
      <c r="A444" s="90"/>
      <c r="C444" s="1122"/>
      <c r="D444" s="1123"/>
      <c r="E444" s="1122"/>
      <c r="F444" s="1123"/>
    </row>
    <row r="445" spans="1:6" x14ac:dyDescent="0.3">
      <c r="A445" s="90"/>
      <c r="C445" s="1122"/>
      <c r="D445" s="1123"/>
      <c r="E445" s="1122"/>
      <c r="F445" s="1123"/>
    </row>
    <row r="446" spans="1:6" x14ac:dyDescent="0.3">
      <c r="A446" s="90"/>
      <c r="C446" s="1122"/>
      <c r="D446" s="1123"/>
      <c r="E446" s="1122"/>
      <c r="F446" s="1123"/>
    </row>
    <row r="447" spans="1:6" x14ac:dyDescent="0.3">
      <c r="A447" s="90"/>
      <c r="C447" s="101"/>
      <c r="D447" s="101"/>
      <c r="E447" s="101"/>
      <c r="F447" s="101"/>
    </row>
    <row r="448" spans="1:6" ht="15.6" x14ac:dyDescent="0.3">
      <c r="A448" s="90"/>
      <c r="D448" s="91"/>
    </row>
    <row r="449" spans="1:6" ht="24" customHeight="1" x14ac:dyDescent="0.3">
      <c r="A449" s="90"/>
      <c r="C449" s="98" t="s">
        <v>630</v>
      </c>
      <c r="D449" s="99">
        <f>_o38</f>
        <v>0</v>
      </c>
      <c r="E449" s="100"/>
      <c r="F449" s="100"/>
    </row>
    <row r="450" spans="1:6" x14ac:dyDescent="0.3">
      <c r="A450" s="90"/>
    </row>
    <row r="451" spans="1:6" x14ac:dyDescent="0.3">
      <c r="A451" s="90"/>
      <c r="C451" s="101"/>
      <c r="D451" s="101" t="str">
        <f ca="1">' '!$A$364</f>
        <v>Beschreibung/Bemerkungen</v>
      </c>
      <c r="E451" s="101"/>
      <c r="F451" s="101"/>
    </row>
    <row r="452" spans="1:6" x14ac:dyDescent="0.3">
      <c r="A452" s="90"/>
      <c r="C452" s="1121"/>
      <c r="D452" s="1121"/>
      <c r="E452" s="1121"/>
      <c r="F452" s="1121"/>
    </row>
    <row r="453" spans="1:6" x14ac:dyDescent="0.3">
      <c r="A453" s="90"/>
      <c r="C453" s="101"/>
      <c r="D453" s="101" t="str">
        <f ca="1">' '!$A$363</f>
        <v>Berechnung</v>
      </c>
      <c r="E453" s="101"/>
      <c r="F453" s="101"/>
    </row>
    <row r="454" spans="1:6" x14ac:dyDescent="0.3">
      <c r="A454" s="90"/>
      <c r="C454" s="1121"/>
      <c r="D454" s="1121"/>
      <c r="E454" s="1121" t="s">
        <v>695</v>
      </c>
      <c r="F454" s="1121"/>
    </row>
    <row r="455" spans="1:6" x14ac:dyDescent="0.3">
      <c r="A455" s="90"/>
      <c r="C455" s="101"/>
      <c r="D455" s="102" t="str">
        <f ca="1">' '!$A$365</f>
        <v>Quelle</v>
      </c>
      <c r="E455" s="101" t="str">
        <f ca="1">' '!$A$366</f>
        <v>Erhebungszeitpunkt &amp; Branchenvergleich</v>
      </c>
      <c r="F455" s="101"/>
    </row>
    <row r="456" spans="1:6" x14ac:dyDescent="0.3">
      <c r="A456" s="90"/>
      <c r="C456" s="1122"/>
      <c r="D456" s="1123"/>
      <c r="E456" s="1122"/>
      <c r="F456" s="1123"/>
    </row>
    <row r="457" spans="1:6" x14ac:dyDescent="0.3">
      <c r="A457" s="90"/>
      <c r="C457" s="1122"/>
      <c r="D457" s="1123"/>
      <c r="E457" s="1122"/>
      <c r="F457" s="1123"/>
    </row>
    <row r="458" spans="1:6" x14ac:dyDescent="0.3">
      <c r="A458" s="90"/>
      <c r="C458" s="1122"/>
      <c r="D458" s="1123"/>
      <c r="E458" s="1122"/>
      <c r="F458" s="1123"/>
    </row>
    <row r="459" spans="1:6" x14ac:dyDescent="0.3">
      <c r="A459" s="90"/>
      <c r="C459" s="101"/>
      <c r="D459" s="101"/>
      <c r="E459" s="101"/>
      <c r="F459" s="101"/>
    </row>
    <row r="460" spans="1:6" ht="15.6" x14ac:dyDescent="0.3">
      <c r="A460" s="90"/>
      <c r="D460" s="91"/>
    </row>
    <row r="461" spans="1:6" ht="24" customHeight="1" x14ac:dyDescent="0.3">
      <c r="A461" s="90"/>
      <c r="C461" s="98" t="s">
        <v>632</v>
      </c>
      <c r="D461" s="99">
        <f>_o39</f>
        <v>0</v>
      </c>
      <c r="E461" s="100"/>
      <c r="F461" s="100"/>
    </row>
    <row r="462" spans="1:6" x14ac:dyDescent="0.3">
      <c r="A462" s="90"/>
    </row>
    <row r="463" spans="1:6" x14ac:dyDescent="0.3">
      <c r="A463" s="90"/>
      <c r="C463" s="101"/>
      <c r="D463" s="101" t="str">
        <f ca="1">' '!$A$364</f>
        <v>Beschreibung/Bemerkungen</v>
      </c>
      <c r="E463" s="101"/>
      <c r="F463" s="101"/>
    </row>
    <row r="464" spans="1:6" x14ac:dyDescent="0.3">
      <c r="A464" s="90"/>
      <c r="C464" s="1121"/>
      <c r="D464" s="1121"/>
      <c r="E464" s="1121"/>
      <c r="F464" s="1121"/>
    </row>
    <row r="465" spans="1:6" x14ac:dyDescent="0.3">
      <c r="A465" s="90"/>
      <c r="C465" s="101"/>
      <c r="D465" s="101" t="str">
        <f ca="1">' '!$A$363</f>
        <v>Berechnung</v>
      </c>
      <c r="E465" s="101"/>
      <c r="F465" s="101"/>
    </row>
    <row r="466" spans="1:6" x14ac:dyDescent="0.3">
      <c r="A466" s="90"/>
      <c r="C466" s="1121"/>
      <c r="D466" s="1121"/>
      <c r="E466" s="1121" t="s">
        <v>695</v>
      </c>
      <c r="F466" s="1121"/>
    </row>
    <row r="467" spans="1:6" x14ac:dyDescent="0.3">
      <c r="A467" s="90"/>
      <c r="C467" s="101"/>
      <c r="D467" s="102" t="str">
        <f ca="1">' '!$A$365</f>
        <v>Quelle</v>
      </c>
      <c r="E467" s="101" t="str">
        <f ca="1">' '!$A$366</f>
        <v>Erhebungszeitpunkt &amp; Branchenvergleich</v>
      </c>
      <c r="F467" s="101"/>
    </row>
    <row r="468" spans="1:6" x14ac:dyDescent="0.3">
      <c r="A468" s="90"/>
      <c r="C468" s="1122"/>
      <c r="D468" s="1123"/>
      <c r="E468" s="1122"/>
      <c r="F468" s="1123"/>
    </row>
    <row r="469" spans="1:6" x14ac:dyDescent="0.3">
      <c r="A469" s="90"/>
      <c r="C469" s="1122"/>
      <c r="D469" s="1123"/>
      <c r="E469" s="1122"/>
      <c r="F469" s="1123"/>
    </row>
    <row r="470" spans="1:6" x14ac:dyDescent="0.3">
      <c r="A470" s="90"/>
      <c r="C470" s="1122"/>
      <c r="D470" s="1123"/>
      <c r="E470" s="1122"/>
      <c r="F470" s="1123"/>
    </row>
    <row r="471" spans="1:6" x14ac:dyDescent="0.3">
      <c r="A471" s="90"/>
      <c r="C471" s="101"/>
      <c r="D471" s="101"/>
      <c r="E471" s="101"/>
      <c r="F471" s="101"/>
    </row>
    <row r="472" spans="1:6" ht="15.6" x14ac:dyDescent="0.3">
      <c r="A472" s="90"/>
      <c r="D472" s="91"/>
    </row>
    <row r="473" spans="1:6" ht="24" customHeight="1" x14ac:dyDescent="0.3">
      <c r="A473" s="90"/>
      <c r="C473" s="98" t="s">
        <v>633</v>
      </c>
      <c r="D473" s="99">
        <f>_o40</f>
        <v>0</v>
      </c>
      <c r="E473" s="100"/>
      <c r="F473" s="100"/>
    </row>
    <row r="474" spans="1:6" x14ac:dyDescent="0.3">
      <c r="A474" s="90"/>
    </row>
    <row r="475" spans="1:6" x14ac:dyDescent="0.3">
      <c r="A475" s="90"/>
      <c r="C475" s="101"/>
      <c r="D475" s="101" t="str">
        <f ca="1">' '!$A$364</f>
        <v>Beschreibung/Bemerkungen</v>
      </c>
      <c r="E475" s="101"/>
      <c r="F475" s="101"/>
    </row>
    <row r="476" spans="1:6" x14ac:dyDescent="0.3">
      <c r="A476" s="90"/>
      <c r="C476" s="1121"/>
      <c r="D476" s="1121"/>
      <c r="E476" s="1121"/>
      <c r="F476" s="1121"/>
    </row>
    <row r="477" spans="1:6" x14ac:dyDescent="0.3">
      <c r="A477" s="90"/>
      <c r="C477" s="101"/>
      <c r="D477" s="101" t="str">
        <f ca="1">' '!$A$363</f>
        <v>Berechnung</v>
      </c>
      <c r="E477" s="101"/>
      <c r="F477" s="101"/>
    </row>
    <row r="478" spans="1:6" x14ac:dyDescent="0.3">
      <c r="A478" s="90"/>
      <c r="C478" s="1121"/>
      <c r="D478" s="1121"/>
      <c r="E478" s="1121" t="s">
        <v>695</v>
      </c>
      <c r="F478" s="1121"/>
    </row>
    <row r="479" spans="1:6" x14ac:dyDescent="0.3">
      <c r="A479" s="90"/>
      <c r="C479" s="101"/>
      <c r="D479" s="102" t="str">
        <f ca="1">' '!$A$365</f>
        <v>Quelle</v>
      </c>
      <c r="E479" s="101" t="str">
        <f ca="1">' '!$A$366</f>
        <v>Erhebungszeitpunkt &amp; Branchenvergleich</v>
      </c>
      <c r="F479" s="101"/>
    </row>
    <row r="480" spans="1:6" x14ac:dyDescent="0.3">
      <c r="A480" s="90"/>
      <c r="C480" s="1122"/>
      <c r="D480" s="1123"/>
      <c r="E480" s="1122"/>
      <c r="F480" s="1123"/>
    </row>
    <row r="481" spans="1:6" x14ac:dyDescent="0.3">
      <c r="A481" s="90"/>
      <c r="C481" s="1122"/>
      <c r="D481" s="1123"/>
      <c r="E481" s="1122"/>
      <c r="F481" s="1123"/>
    </row>
    <row r="482" spans="1:6" x14ac:dyDescent="0.3">
      <c r="A482" s="90"/>
      <c r="C482" s="1122"/>
      <c r="D482" s="1123"/>
      <c r="E482" s="1122"/>
      <c r="F482" s="1123"/>
    </row>
    <row r="483" spans="1:6" x14ac:dyDescent="0.3">
      <c r="A483" s="90"/>
      <c r="C483" s="101"/>
      <c r="D483" s="101"/>
      <c r="E483" s="101"/>
      <c r="F483" s="101"/>
    </row>
    <row r="484" spans="1:6" ht="15.6" x14ac:dyDescent="0.3">
      <c r="A484" s="90"/>
      <c r="D484" s="91"/>
    </row>
    <row r="485" spans="1:6" ht="24" customHeight="1" x14ac:dyDescent="0.3">
      <c r="A485" s="90"/>
      <c r="C485" s="98" t="s">
        <v>635</v>
      </c>
      <c r="D485" s="99">
        <f>_o41</f>
        <v>0</v>
      </c>
      <c r="E485" s="100"/>
      <c r="F485" s="100"/>
    </row>
    <row r="486" spans="1:6" x14ac:dyDescent="0.3">
      <c r="A486" s="90"/>
    </row>
    <row r="487" spans="1:6" x14ac:dyDescent="0.3">
      <c r="A487" s="90"/>
      <c r="C487" s="101"/>
      <c r="D487" s="101" t="str">
        <f ca="1">' '!$A$364</f>
        <v>Beschreibung/Bemerkungen</v>
      </c>
      <c r="E487" s="101"/>
      <c r="F487" s="101"/>
    </row>
    <row r="488" spans="1:6" x14ac:dyDescent="0.3">
      <c r="A488" s="90"/>
      <c r="C488" s="1121"/>
      <c r="D488" s="1121"/>
      <c r="E488" s="1121"/>
      <c r="F488" s="1121"/>
    </row>
    <row r="489" spans="1:6" x14ac:dyDescent="0.3">
      <c r="A489" s="90"/>
      <c r="C489" s="101"/>
      <c r="D489" s="101" t="str">
        <f ca="1">' '!$A$363</f>
        <v>Berechnung</v>
      </c>
      <c r="E489" s="101"/>
      <c r="F489" s="101"/>
    </row>
    <row r="490" spans="1:6" x14ac:dyDescent="0.3">
      <c r="A490" s="90"/>
      <c r="C490" s="1121"/>
      <c r="D490" s="1121"/>
      <c r="E490" s="1121" t="s">
        <v>695</v>
      </c>
      <c r="F490" s="1121"/>
    </row>
    <row r="491" spans="1:6" x14ac:dyDescent="0.3">
      <c r="A491" s="90"/>
      <c r="C491" s="101"/>
      <c r="D491" s="102" t="str">
        <f ca="1">' '!$A$365</f>
        <v>Quelle</v>
      </c>
      <c r="E491" s="101" t="str">
        <f ca="1">' '!$A$366</f>
        <v>Erhebungszeitpunkt &amp; Branchenvergleich</v>
      </c>
      <c r="F491" s="101"/>
    </row>
    <row r="492" spans="1:6" x14ac:dyDescent="0.3">
      <c r="A492" s="90"/>
      <c r="C492" s="1122"/>
      <c r="D492" s="1123"/>
      <c r="E492" s="1122"/>
      <c r="F492" s="1123"/>
    </row>
    <row r="493" spans="1:6" x14ac:dyDescent="0.3">
      <c r="A493" s="90"/>
      <c r="C493" s="1122"/>
      <c r="D493" s="1123"/>
      <c r="E493" s="1122"/>
      <c r="F493" s="1123"/>
    </row>
    <row r="494" spans="1:6" x14ac:dyDescent="0.3">
      <c r="A494" s="90"/>
      <c r="C494" s="1122"/>
      <c r="D494" s="1123"/>
      <c r="E494" s="1122"/>
      <c r="F494" s="1123"/>
    </row>
    <row r="495" spans="1:6" x14ac:dyDescent="0.3">
      <c r="A495" s="90"/>
      <c r="C495" s="101"/>
      <c r="D495" s="101"/>
      <c r="E495" s="101"/>
      <c r="F495" s="101"/>
    </row>
    <row r="496" spans="1:6" ht="15.6" x14ac:dyDescent="0.3">
      <c r="A496" s="90"/>
      <c r="D496" s="91"/>
    </row>
    <row r="497" spans="1:6" ht="24" customHeight="1" x14ac:dyDescent="0.3">
      <c r="A497" s="90"/>
      <c r="C497" s="98" t="s">
        <v>636</v>
      </c>
      <c r="D497" s="99">
        <f>_o42</f>
        <v>0</v>
      </c>
      <c r="E497" s="100"/>
      <c r="F497" s="100"/>
    </row>
    <row r="498" spans="1:6" x14ac:dyDescent="0.3">
      <c r="A498" s="90"/>
    </row>
    <row r="499" spans="1:6" x14ac:dyDescent="0.3">
      <c r="A499" s="90"/>
      <c r="C499" s="101"/>
      <c r="D499" s="101" t="str">
        <f ca="1">' '!$A$364</f>
        <v>Beschreibung/Bemerkungen</v>
      </c>
      <c r="E499" s="101"/>
      <c r="F499" s="101"/>
    </row>
    <row r="500" spans="1:6" x14ac:dyDescent="0.3">
      <c r="A500" s="90"/>
      <c r="C500" s="1121"/>
      <c r="D500" s="1121"/>
      <c r="E500" s="1121"/>
      <c r="F500" s="1121"/>
    </row>
    <row r="501" spans="1:6" x14ac:dyDescent="0.3">
      <c r="A501" s="90"/>
      <c r="C501" s="101"/>
      <c r="D501" s="101" t="str">
        <f ca="1">' '!$A$363</f>
        <v>Berechnung</v>
      </c>
      <c r="E501" s="101"/>
      <c r="F501" s="101"/>
    </row>
    <row r="502" spans="1:6" x14ac:dyDescent="0.3">
      <c r="A502" s="90"/>
      <c r="C502" s="1121"/>
      <c r="D502" s="1121"/>
      <c r="E502" s="1121" t="s">
        <v>695</v>
      </c>
      <c r="F502" s="1121"/>
    </row>
    <row r="503" spans="1:6" x14ac:dyDescent="0.3">
      <c r="A503" s="90"/>
      <c r="C503" s="101"/>
      <c r="D503" s="102" t="str">
        <f ca="1">' '!$A$365</f>
        <v>Quelle</v>
      </c>
      <c r="E503" s="101" t="str">
        <f ca="1">' '!$A$366</f>
        <v>Erhebungszeitpunkt &amp; Branchenvergleich</v>
      </c>
      <c r="F503" s="101"/>
    </row>
    <row r="504" spans="1:6" x14ac:dyDescent="0.3">
      <c r="A504" s="90"/>
      <c r="C504" s="1122"/>
      <c r="D504" s="1123"/>
      <c r="E504" s="1122"/>
      <c r="F504" s="1123"/>
    </row>
    <row r="505" spans="1:6" x14ac:dyDescent="0.3">
      <c r="A505" s="90"/>
      <c r="C505" s="1122"/>
      <c r="D505" s="1123"/>
      <c r="E505" s="1122"/>
      <c r="F505" s="1123"/>
    </row>
    <row r="506" spans="1:6" x14ac:dyDescent="0.3">
      <c r="A506" s="90"/>
      <c r="C506" s="1122"/>
      <c r="D506" s="1123"/>
      <c r="E506" s="1122"/>
      <c r="F506" s="1123"/>
    </row>
    <row r="507" spans="1:6" x14ac:dyDescent="0.3">
      <c r="A507" s="90"/>
      <c r="C507" s="101"/>
      <c r="D507" s="101"/>
      <c r="E507" s="101"/>
      <c r="F507" s="101"/>
    </row>
    <row r="508" spans="1:6" ht="15.6" x14ac:dyDescent="0.3">
      <c r="A508" s="90"/>
      <c r="D508" s="91"/>
    </row>
    <row r="509" spans="1:6" ht="24" customHeight="1" x14ac:dyDescent="0.3">
      <c r="A509" s="90"/>
      <c r="C509" s="98" t="s">
        <v>638</v>
      </c>
      <c r="D509" s="99">
        <f>_o43</f>
        <v>0</v>
      </c>
      <c r="E509" s="100"/>
      <c r="F509" s="100"/>
    </row>
    <row r="510" spans="1:6" x14ac:dyDescent="0.3">
      <c r="A510" s="90"/>
    </row>
    <row r="511" spans="1:6" x14ac:dyDescent="0.3">
      <c r="A511" s="90"/>
      <c r="C511" s="101"/>
      <c r="D511" s="101" t="str">
        <f ca="1">' '!$A$364</f>
        <v>Beschreibung/Bemerkungen</v>
      </c>
      <c r="E511" s="101"/>
      <c r="F511" s="101"/>
    </row>
    <row r="512" spans="1:6" x14ac:dyDescent="0.3">
      <c r="A512" s="90"/>
      <c r="C512" s="1121"/>
      <c r="D512" s="1121"/>
      <c r="E512" s="1121"/>
      <c r="F512" s="1121"/>
    </row>
    <row r="513" spans="1:6" x14ac:dyDescent="0.3">
      <c r="A513" s="90"/>
      <c r="C513" s="101"/>
      <c r="D513" s="101" t="str">
        <f ca="1">' '!$A$363</f>
        <v>Berechnung</v>
      </c>
      <c r="E513" s="101"/>
      <c r="F513" s="101"/>
    </row>
    <row r="514" spans="1:6" x14ac:dyDescent="0.3">
      <c r="A514" s="90"/>
      <c r="C514" s="1121"/>
      <c r="D514" s="1121"/>
      <c r="E514" s="1121" t="s">
        <v>695</v>
      </c>
      <c r="F514" s="1121"/>
    </row>
    <row r="515" spans="1:6" x14ac:dyDescent="0.3">
      <c r="A515" s="90"/>
      <c r="C515" s="101"/>
      <c r="D515" s="102" t="str">
        <f ca="1">' '!$A$365</f>
        <v>Quelle</v>
      </c>
      <c r="E515" s="101" t="str">
        <f ca="1">' '!$A$366</f>
        <v>Erhebungszeitpunkt &amp; Branchenvergleich</v>
      </c>
      <c r="F515" s="101"/>
    </row>
    <row r="516" spans="1:6" x14ac:dyDescent="0.3">
      <c r="A516" s="90"/>
      <c r="C516" s="1122"/>
      <c r="D516" s="1123"/>
      <c r="E516" s="1122"/>
      <c r="F516" s="1123"/>
    </row>
    <row r="517" spans="1:6" x14ac:dyDescent="0.3">
      <c r="A517" s="90"/>
      <c r="C517" s="1122"/>
      <c r="D517" s="1123"/>
      <c r="E517" s="1122"/>
      <c r="F517" s="1123"/>
    </row>
    <row r="518" spans="1:6" x14ac:dyDescent="0.3">
      <c r="A518" s="90"/>
      <c r="C518" s="1122"/>
      <c r="D518" s="1123"/>
      <c r="E518" s="1122"/>
      <c r="F518" s="1123"/>
    </row>
    <row r="519" spans="1:6" x14ac:dyDescent="0.3">
      <c r="A519" s="90"/>
      <c r="C519" s="101"/>
      <c r="D519" s="101"/>
      <c r="E519" s="101"/>
      <c r="F519" s="101"/>
    </row>
    <row r="520" spans="1:6" ht="15.6" x14ac:dyDescent="0.3">
      <c r="A520" s="90"/>
      <c r="D520" s="91"/>
    </row>
    <row r="521" spans="1:6" ht="24" customHeight="1" x14ac:dyDescent="0.3">
      <c r="A521" s="90"/>
      <c r="C521" s="98" t="s">
        <v>639</v>
      </c>
      <c r="D521" s="99">
        <f>_o44</f>
        <v>0</v>
      </c>
      <c r="E521" s="100"/>
      <c r="F521" s="100"/>
    </row>
    <row r="522" spans="1:6" x14ac:dyDescent="0.3">
      <c r="A522" s="90"/>
    </row>
    <row r="523" spans="1:6" x14ac:dyDescent="0.3">
      <c r="A523" s="90"/>
      <c r="C523" s="101"/>
      <c r="D523" s="101" t="str">
        <f ca="1">' '!$A$364</f>
        <v>Beschreibung/Bemerkungen</v>
      </c>
      <c r="E523" s="101"/>
      <c r="F523" s="101"/>
    </row>
    <row r="524" spans="1:6" x14ac:dyDescent="0.3">
      <c r="A524" s="90"/>
      <c r="C524" s="1121"/>
      <c r="D524" s="1121"/>
      <c r="E524" s="1121"/>
      <c r="F524" s="1121"/>
    </row>
    <row r="525" spans="1:6" x14ac:dyDescent="0.3">
      <c r="A525" s="90"/>
      <c r="C525" s="101"/>
      <c r="D525" s="101" t="str">
        <f ca="1">' '!$A$363</f>
        <v>Berechnung</v>
      </c>
      <c r="E525" s="101"/>
      <c r="F525" s="101"/>
    </row>
    <row r="526" spans="1:6" x14ac:dyDescent="0.3">
      <c r="A526" s="90"/>
      <c r="C526" s="1121"/>
      <c r="D526" s="1121"/>
      <c r="E526" s="1121" t="s">
        <v>695</v>
      </c>
      <c r="F526" s="1121"/>
    </row>
    <row r="527" spans="1:6" x14ac:dyDescent="0.3">
      <c r="A527" s="90"/>
      <c r="C527" s="101"/>
      <c r="D527" s="102" t="str">
        <f ca="1">' '!$A$365</f>
        <v>Quelle</v>
      </c>
      <c r="E527" s="101" t="str">
        <f ca="1">' '!$A$366</f>
        <v>Erhebungszeitpunkt &amp; Branchenvergleich</v>
      </c>
      <c r="F527" s="101"/>
    </row>
    <row r="528" spans="1:6" x14ac:dyDescent="0.3">
      <c r="A528" s="90"/>
      <c r="C528" s="1122"/>
      <c r="D528" s="1123"/>
      <c r="E528" s="1122"/>
      <c r="F528" s="1123"/>
    </row>
    <row r="529" spans="1:6" x14ac:dyDescent="0.3">
      <c r="A529" s="90"/>
      <c r="C529" s="1122"/>
      <c r="D529" s="1123"/>
      <c r="E529" s="1122"/>
      <c r="F529" s="1123"/>
    </row>
    <row r="530" spans="1:6" x14ac:dyDescent="0.3">
      <c r="A530" s="90"/>
      <c r="C530" s="1122"/>
      <c r="D530" s="1123"/>
      <c r="E530" s="1122"/>
      <c r="F530" s="1123"/>
    </row>
    <row r="531" spans="1:6" x14ac:dyDescent="0.3">
      <c r="A531" s="90"/>
      <c r="C531" s="101"/>
      <c r="D531" s="101"/>
      <c r="E531" s="101"/>
      <c r="F531" s="101"/>
    </row>
    <row r="532" spans="1:6" ht="15.6" x14ac:dyDescent="0.3">
      <c r="A532" s="90"/>
      <c r="D532" s="91"/>
    </row>
    <row r="533" spans="1:6" ht="24" customHeight="1" x14ac:dyDescent="0.3">
      <c r="A533" s="90"/>
      <c r="C533" s="98" t="s">
        <v>641</v>
      </c>
      <c r="D533" s="99">
        <f>_o45</f>
        <v>0</v>
      </c>
      <c r="E533" s="100"/>
      <c r="F533" s="100"/>
    </row>
    <row r="534" spans="1:6" x14ac:dyDescent="0.3">
      <c r="A534" s="90"/>
    </row>
    <row r="535" spans="1:6" x14ac:dyDescent="0.3">
      <c r="A535" s="90"/>
      <c r="C535" s="101"/>
      <c r="D535" s="101" t="str">
        <f ca="1">' '!$A$364</f>
        <v>Beschreibung/Bemerkungen</v>
      </c>
      <c r="E535" s="101"/>
      <c r="F535" s="101"/>
    </row>
    <row r="536" spans="1:6" x14ac:dyDescent="0.3">
      <c r="A536" s="90"/>
      <c r="C536" s="1121"/>
      <c r="D536" s="1121"/>
      <c r="E536" s="1121"/>
      <c r="F536" s="1121"/>
    </row>
    <row r="537" spans="1:6" x14ac:dyDescent="0.3">
      <c r="A537" s="90"/>
      <c r="C537" s="101"/>
      <c r="D537" s="101" t="str">
        <f ca="1">' '!$A$363</f>
        <v>Berechnung</v>
      </c>
      <c r="E537" s="101"/>
      <c r="F537" s="101"/>
    </row>
    <row r="538" spans="1:6" x14ac:dyDescent="0.3">
      <c r="A538" s="90"/>
      <c r="C538" s="1121"/>
      <c r="D538" s="1121"/>
      <c r="E538" s="1121" t="s">
        <v>695</v>
      </c>
      <c r="F538" s="1121"/>
    </row>
    <row r="539" spans="1:6" x14ac:dyDescent="0.3">
      <c r="A539" s="90"/>
      <c r="C539" s="101"/>
      <c r="D539" s="102" t="str">
        <f ca="1">' '!$A$365</f>
        <v>Quelle</v>
      </c>
      <c r="E539" s="101" t="str">
        <f ca="1">' '!$A$366</f>
        <v>Erhebungszeitpunkt &amp; Branchenvergleich</v>
      </c>
      <c r="F539" s="101"/>
    </row>
    <row r="540" spans="1:6" x14ac:dyDescent="0.3">
      <c r="A540" s="90"/>
      <c r="C540" s="1122"/>
      <c r="D540" s="1123"/>
      <c r="E540" s="1122"/>
      <c r="F540" s="1123"/>
    </row>
    <row r="541" spans="1:6" x14ac:dyDescent="0.3">
      <c r="A541" s="90"/>
      <c r="C541" s="1122"/>
      <c r="D541" s="1123"/>
      <c r="E541" s="1122"/>
      <c r="F541" s="1123"/>
    </row>
    <row r="542" spans="1:6" x14ac:dyDescent="0.3">
      <c r="A542" s="90"/>
      <c r="C542" s="1122"/>
      <c r="D542" s="1123"/>
      <c r="E542" s="1122"/>
      <c r="F542" s="1123"/>
    </row>
    <row r="543" spans="1:6" x14ac:dyDescent="0.3">
      <c r="A543" s="90"/>
      <c r="C543" s="101"/>
      <c r="D543" s="101"/>
      <c r="E543" s="101"/>
      <c r="F543" s="101"/>
    </row>
    <row r="544" spans="1:6" ht="15.6" x14ac:dyDescent="0.3">
      <c r="A544" s="90"/>
      <c r="D544" s="91"/>
    </row>
    <row r="545" spans="1:6" ht="24" customHeight="1" x14ac:dyDescent="0.3">
      <c r="A545" s="90"/>
      <c r="C545" s="98" t="s">
        <v>642</v>
      </c>
      <c r="D545" s="99">
        <f>_o46</f>
        <v>0</v>
      </c>
      <c r="E545" s="100"/>
      <c r="F545" s="100"/>
    </row>
    <row r="546" spans="1:6" x14ac:dyDescent="0.3">
      <c r="A546" s="90"/>
    </row>
    <row r="547" spans="1:6" x14ac:dyDescent="0.3">
      <c r="A547" s="90"/>
      <c r="C547" s="101"/>
      <c r="D547" s="101" t="str">
        <f ca="1">' '!$A$364</f>
        <v>Beschreibung/Bemerkungen</v>
      </c>
      <c r="E547" s="101"/>
      <c r="F547" s="101"/>
    </row>
    <row r="548" spans="1:6" x14ac:dyDescent="0.3">
      <c r="A548" s="90"/>
      <c r="C548" s="1121"/>
      <c r="D548" s="1121"/>
      <c r="E548" s="1121"/>
      <c r="F548" s="1121"/>
    </row>
    <row r="549" spans="1:6" x14ac:dyDescent="0.3">
      <c r="A549" s="90"/>
      <c r="C549" s="101"/>
      <c r="D549" s="101" t="str">
        <f ca="1">' '!$A$363</f>
        <v>Berechnung</v>
      </c>
      <c r="E549" s="101"/>
      <c r="F549" s="101"/>
    </row>
    <row r="550" spans="1:6" x14ac:dyDescent="0.3">
      <c r="A550" s="90"/>
      <c r="C550" s="1121"/>
      <c r="D550" s="1121"/>
      <c r="E550" s="1121" t="s">
        <v>695</v>
      </c>
      <c r="F550" s="1121"/>
    </row>
    <row r="551" spans="1:6" x14ac:dyDescent="0.3">
      <c r="A551" s="90"/>
      <c r="C551" s="101"/>
      <c r="D551" s="102" t="str">
        <f ca="1">' '!$A$365</f>
        <v>Quelle</v>
      </c>
      <c r="E551" s="101" t="str">
        <f ca="1">' '!$A$366</f>
        <v>Erhebungszeitpunkt &amp; Branchenvergleich</v>
      </c>
      <c r="F551" s="101"/>
    </row>
    <row r="552" spans="1:6" x14ac:dyDescent="0.3">
      <c r="A552" s="90"/>
      <c r="C552" s="1122"/>
      <c r="D552" s="1123"/>
      <c r="E552" s="1122"/>
      <c r="F552" s="1123"/>
    </row>
    <row r="553" spans="1:6" x14ac:dyDescent="0.3">
      <c r="A553" s="90"/>
      <c r="C553" s="1122"/>
      <c r="D553" s="1123"/>
      <c r="E553" s="1122"/>
      <c r="F553" s="1123"/>
    </row>
    <row r="554" spans="1:6" x14ac:dyDescent="0.3">
      <c r="A554" s="90"/>
      <c r="C554" s="1122"/>
      <c r="D554" s="1123"/>
      <c r="E554" s="1122"/>
      <c r="F554" s="1123"/>
    </row>
    <row r="555" spans="1:6" x14ac:dyDescent="0.3">
      <c r="A555" s="90"/>
      <c r="C555" s="101"/>
      <c r="D555" s="101"/>
      <c r="E555" s="101"/>
      <c r="F555" s="101"/>
    </row>
    <row r="556" spans="1:6" ht="15.6" x14ac:dyDescent="0.3">
      <c r="A556" s="90"/>
      <c r="D556" s="91"/>
    </row>
    <row r="557" spans="1:6" ht="24" customHeight="1" x14ac:dyDescent="0.3">
      <c r="A557" s="90"/>
      <c r="C557" s="98" t="s">
        <v>644</v>
      </c>
      <c r="D557" s="99">
        <f>_o47</f>
        <v>0</v>
      </c>
      <c r="E557" s="100"/>
      <c r="F557" s="100"/>
    </row>
    <row r="558" spans="1:6" x14ac:dyDescent="0.3">
      <c r="A558" s="90"/>
    </row>
    <row r="559" spans="1:6" x14ac:dyDescent="0.3">
      <c r="A559" s="90"/>
      <c r="C559" s="101"/>
      <c r="D559" s="101" t="str">
        <f ca="1">' '!$A$364</f>
        <v>Beschreibung/Bemerkungen</v>
      </c>
      <c r="E559" s="101"/>
      <c r="F559" s="101"/>
    </row>
    <row r="560" spans="1:6" x14ac:dyDescent="0.3">
      <c r="A560" s="90"/>
      <c r="C560" s="1121"/>
      <c r="D560" s="1121"/>
      <c r="E560" s="1121"/>
      <c r="F560" s="1121"/>
    </row>
    <row r="561" spans="1:6" x14ac:dyDescent="0.3">
      <c r="A561" s="90"/>
      <c r="C561" s="101"/>
      <c r="D561" s="101" t="str">
        <f ca="1">' '!$A$363</f>
        <v>Berechnung</v>
      </c>
      <c r="E561" s="101"/>
      <c r="F561" s="101"/>
    </row>
    <row r="562" spans="1:6" x14ac:dyDescent="0.3">
      <c r="A562" s="90"/>
      <c r="C562" s="1121"/>
      <c r="D562" s="1121"/>
      <c r="E562" s="1121" t="s">
        <v>695</v>
      </c>
      <c r="F562" s="1121"/>
    </row>
    <row r="563" spans="1:6" x14ac:dyDescent="0.3">
      <c r="A563" s="90"/>
      <c r="C563" s="101"/>
      <c r="D563" s="102" t="str">
        <f ca="1">' '!$A$365</f>
        <v>Quelle</v>
      </c>
      <c r="E563" s="101" t="str">
        <f ca="1">' '!$A$366</f>
        <v>Erhebungszeitpunkt &amp; Branchenvergleich</v>
      </c>
      <c r="F563" s="101"/>
    </row>
    <row r="564" spans="1:6" x14ac:dyDescent="0.3">
      <c r="A564" s="90"/>
      <c r="C564" s="1122"/>
      <c r="D564" s="1123"/>
      <c r="E564" s="1122"/>
      <c r="F564" s="1123"/>
    </row>
    <row r="565" spans="1:6" x14ac:dyDescent="0.3">
      <c r="A565" s="90"/>
      <c r="C565" s="1122"/>
      <c r="D565" s="1123"/>
      <c r="E565" s="1122"/>
      <c r="F565" s="1123"/>
    </row>
    <row r="566" spans="1:6" x14ac:dyDescent="0.3">
      <c r="A566" s="90"/>
      <c r="C566" s="1122"/>
      <c r="D566" s="1123"/>
      <c r="E566" s="1122"/>
      <c r="F566" s="1123"/>
    </row>
    <row r="567" spans="1:6" x14ac:dyDescent="0.3">
      <c r="A567" s="90"/>
      <c r="C567" s="101"/>
      <c r="D567" s="101"/>
      <c r="E567" s="101"/>
      <c r="F567" s="101"/>
    </row>
    <row r="568" spans="1:6" ht="15.6" x14ac:dyDescent="0.3">
      <c r="A568" s="90"/>
      <c r="D568" s="91"/>
    </row>
    <row r="569" spans="1:6" ht="24" customHeight="1" x14ac:dyDescent="0.3">
      <c r="A569" s="90"/>
      <c r="C569" s="98" t="s">
        <v>645</v>
      </c>
      <c r="D569" s="99">
        <f>_o48</f>
        <v>0</v>
      </c>
      <c r="E569" s="100"/>
      <c r="F569" s="100"/>
    </row>
    <row r="570" spans="1:6" x14ac:dyDescent="0.3">
      <c r="A570" s="90"/>
    </row>
    <row r="571" spans="1:6" x14ac:dyDescent="0.3">
      <c r="A571" s="90"/>
      <c r="C571" s="101"/>
      <c r="D571" s="101" t="str">
        <f ca="1">' '!$A$364</f>
        <v>Beschreibung/Bemerkungen</v>
      </c>
      <c r="E571" s="101"/>
      <c r="F571" s="101"/>
    </row>
    <row r="572" spans="1:6" x14ac:dyDescent="0.3">
      <c r="A572" s="90"/>
      <c r="C572" s="1121"/>
      <c r="D572" s="1121"/>
      <c r="E572" s="1121"/>
      <c r="F572" s="1121"/>
    </row>
    <row r="573" spans="1:6" x14ac:dyDescent="0.3">
      <c r="A573" s="90"/>
      <c r="C573" s="101"/>
      <c r="D573" s="101" t="str">
        <f ca="1">' '!$A$363</f>
        <v>Berechnung</v>
      </c>
      <c r="E573" s="101"/>
      <c r="F573" s="101"/>
    </row>
    <row r="574" spans="1:6" x14ac:dyDescent="0.3">
      <c r="A574" s="90"/>
      <c r="C574" s="1121"/>
      <c r="D574" s="1121"/>
      <c r="E574" s="1121" t="s">
        <v>695</v>
      </c>
      <c r="F574" s="1121"/>
    </row>
    <row r="575" spans="1:6" x14ac:dyDescent="0.3">
      <c r="A575" s="90"/>
      <c r="C575" s="101"/>
      <c r="D575" s="102" t="str">
        <f ca="1">' '!$A$365</f>
        <v>Quelle</v>
      </c>
      <c r="E575" s="101" t="str">
        <f ca="1">' '!$A$366</f>
        <v>Erhebungszeitpunkt &amp; Branchenvergleich</v>
      </c>
      <c r="F575" s="101"/>
    </row>
    <row r="576" spans="1:6" x14ac:dyDescent="0.3">
      <c r="A576" s="90"/>
      <c r="C576" s="1122"/>
      <c r="D576" s="1123"/>
      <c r="E576" s="1122"/>
      <c r="F576" s="1123"/>
    </row>
    <row r="577" spans="1:6" x14ac:dyDescent="0.3">
      <c r="A577" s="90"/>
      <c r="C577" s="1122"/>
      <c r="D577" s="1123"/>
      <c r="E577" s="1122"/>
      <c r="F577" s="1123"/>
    </row>
    <row r="578" spans="1:6" x14ac:dyDescent="0.3">
      <c r="A578" s="90"/>
      <c r="C578" s="1122"/>
      <c r="D578" s="1123"/>
      <c r="E578" s="1122"/>
      <c r="F578" s="1123"/>
    </row>
    <row r="579" spans="1:6" x14ac:dyDescent="0.3">
      <c r="A579" s="90"/>
      <c r="C579" s="101"/>
      <c r="D579" s="101"/>
      <c r="E579" s="101"/>
      <c r="F579" s="101"/>
    </row>
    <row r="580" spans="1:6" ht="15.6" x14ac:dyDescent="0.3">
      <c r="A580" s="90"/>
      <c r="D580" s="91"/>
    </row>
    <row r="581" spans="1:6" ht="24" customHeight="1" x14ac:dyDescent="0.3">
      <c r="A581" s="90"/>
      <c r="C581" s="98" t="s">
        <v>647</v>
      </c>
      <c r="D581" s="99">
        <f>_o49</f>
        <v>0</v>
      </c>
      <c r="E581" s="100"/>
      <c r="F581" s="100"/>
    </row>
    <row r="582" spans="1:6" x14ac:dyDescent="0.3">
      <c r="A582" s="90"/>
    </row>
    <row r="583" spans="1:6" x14ac:dyDescent="0.3">
      <c r="A583" s="90"/>
      <c r="C583" s="101"/>
      <c r="D583" s="101" t="str">
        <f ca="1">' '!$A$364</f>
        <v>Beschreibung/Bemerkungen</v>
      </c>
      <c r="E583" s="101"/>
      <c r="F583" s="101"/>
    </row>
    <row r="584" spans="1:6" x14ac:dyDescent="0.3">
      <c r="A584" s="90"/>
      <c r="C584" s="1121"/>
      <c r="D584" s="1121"/>
      <c r="E584" s="1121"/>
      <c r="F584" s="1121"/>
    </row>
    <row r="585" spans="1:6" x14ac:dyDescent="0.3">
      <c r="A585" s="90"/>
      <c r="C585" s="101"/>
      <c r="D585" s="101" t="str">
        <f ca="1">' '!$A$363</f>
        <v>Berechnung</v>
      </c>
      <c r="E585" s="101"/>
      <c r="F585" s="101"/>
    </row>
    <row r="586" spans="1:6" x14ac:dyDescent="0.3">
      <c r="A586" s="90"/>
      <c r="C586" s="1121"/>
      <c r="D586" s="1121"/>
      <c r="E586" s="1121" t="s">
        <v>695</v>
      </c>
      <c r="F586" s="1121"/>
    </row>
    <row r="587" spans="1:6" x14ac:dyDescent="0.3">
      <c r="A587" s="90"/>
      <c r="C587" s="101"/>
      <c r="D587" s="102" t="str">
        <f ca="1">' '!$A$365</f>
        <v>Quelle</v>
      </c>
      <c r="E587" s="101" t="str">
        <f ca="1">' '!$A$366</f>
        <v>Erhebungszeitpunkt &amp; Branchenvergleich</v>
      </c>
      <c r="F587" s="101"/>
    </row>
    <row r="588" spans="1:6" x14ac:dyDescent="0.3">
      <c r="A588" s="90"/>
      <c r="C588" s="1122"/>
      <c r="D588" s="1123"/>
      <c r="E588" s="1122"/>
      <c r="F588" s="1123"/>
    </row>
    <row r="589" spans="1:6" x14ac:dyDescent="0.3">
      <c r="A589" s="90"/>
      <c r="C589" s="1122"/>
      <c r="D589" s="1123"/>
      <c r="E589" s="1122"/>
      <c r="F589" s="1123"/>
    </row>
    <row r="590" spans="1:6" x14ac:dyDescent="0.3">
      <c r="A590" s="90"/>
      <c r="C590" s="1122"/>
      <c r="D590" s="1123"/>
      <c r="E590" s="1122"/>
      <c r="F590" s="1123"/>
    </row>
    <row r="591" spans="1:6" x14ac:dyDescent="0.3">
      <c r="A591" s="90"/>
      <c r="C591" s="101"/>
      <c r="D591" s="101"/>
      <c r="E591" s="101"/>
      <c r="F591" s="101"/>
    </row>
    <row r="592" spans="1:6" ht="15.6" x14ac:dyDescent="0.3">
      <c r="A592" s="90"/>
      <c r="D592" s="91"/>
    </row>
    <row r="593" spans="1:6" ht="24" customHeight="1" x14ac:dyDescent="0.3">
      <c r="A593" s="90"/>
      <c r="C593" s="98" t="s">
        <v>648</v>
      </c>
      <c r="D593" s="99">
        <f>_o50</f>
        <v>0</v>
      </c>
      <c r="E593" s="100"/>
      <c r="F593" s="100"/>
    </row>
    <row r="594" spans="1:6" x14ac:dyDescent="0.3">
      <c r="A594" s="90"/>
    </row>
    <row r="595" spans="1:6" x14ac:dyDescent="0.3">
      <c r="A595" s="90"/>
      <c r="C595" s="101"/>
      <c r="D595" s="101" t="str">
        <f ca="1">' '!$A$364</f>
        <v>Beschreibung/Bemerkungen</v>
      </c>
      <c r="E595" s="101"/>
      <c r="F595" s="101"/>
    </row>
    <row r="596" spans="1:6" x14ac:dyDescent="0.3">
      <c r="A596" s="90"/>
      <c r="C596" s="1121"/>
      <c r="D596" s="1121"/>
      <c r="E596" s="1121"/>
      <c r="F596" s="1121"/>
    </row>
    <row r="597" spans="1:6" x14ac:dyDescent="0.3">
      <c r="A597" s="90"/>
      <c r="C597" s="101"/>
      <c r="D597" s="101" t="str">
        <f ca="1">' '!$A$363</f>
        <v>Berechnung</v>
      </c>
      <c r="E597" s="101"/>
      <c r="F597" s="101"/>
    </row>
    <row r="598" spans="1:6" x14ac:dyDescent="0.3">
      <c r="A598" s="90"/>
      <c r="C598" s="1121"/>
      <c r="D598" s="1121"/>
      <c r="E598" s="1121" t="s">
        <v>695</v>
      </c>
      <c r="F598" s="1121"/>
    </row>
    <row r="599" spans="1:6" x14ac:dyDescent="0.3">
      <c r="A599" s="90"/>
      <c r="C599" s="101"/>
      <c r="D599" s="102" t="str">
        <f ca="1">' '!$A$365</f>
        <v>Quelle</v>
      </c>
      <c r="E599" s="101" t="str">
        <f ca="1">' '!$A$366</f>
        <v>Erhebungszeitpunkt &amp; Branchenvergleich</v>
      </c>
      <c r="F599" s="101"/>
    </row>
    <row r="600" spans="1:6" x14ac:dyDescent="0.3">
      <c r="A600" s="90"/>
      <c r="C600" s="1122"/>
      <c r="D600" s="1123"/>
      <c r="E600" s="1122"/>
      <c r="F600" s="1123"/>
    </row>
    <row r="601" spans="1:6" x14ac:dyDescent="0.3">
      <c r="A601" s="90"/>
      <c r="C601" s="1122"/>
      <c r="D601" s="1123"/>
      <c r="E601" s="1122"/>
      <c r="F601" s="1123"/>
    </row>
    <row r="602" spans="1:6" x14ac:dyDescent="0.3">
      <c r="A602" s="90"/>
      <c r="C602" s="1122"/>
      <c r="D602" s="1123"/>
      <c r="E602" s="1122"/>
      <c r="F602" s="1123"/>
    </row>
    <row r="603" spans="1:6" x14ac:dyDescent="0.3">
      <c r="A603" s="90"/>
      <c r="C603" s="101"/>
      <c r="D603" s="101"/>
      <c r="E603" s="101"/>
      <c r="F603" s="101"/>
    </row>
    <row r="604" spans="1:6" ht="15.6" x14ac:dyDescent="0.3">
      <c r="A604" s="90"/>
      <c r="D604" s="91"/>
    </row>
    <row r="605" spans="1:6" ht="24" customHeight="1" x14ac:dyDescent="0.3">
      <c r="A605" s="90"/>
      <c r="C605" s="98" t="s">
        <v>650</v>
      </c>
      <c r="D605" s="99">
        <f>_o51</f>
        <v>0</v>
      </c>
      <c r="E605" s="100"/>
      <c r="F605" s="100"/>
    </row>
    <row r="606" spans="1:6" x14ac:dyDescent="0.3">
      <c r="A606" s="90"/>
    </row>
    <row r="607" spans="1:6" x14ac:dyDescent="0.3">
      <c r="A607" s="90"/>
      <c r="C607" s="101"/>
      <c r="D607" s="101" t="str">
        <f ca="1">' '!$A$364</f>
        <v>Beschreibung/Bemerkungen</v>
      </c>
      <c r="E607" s="101"/>
      <c r="F607" s="101"/>
    </row>
    <row r="608" spans="1:6" x14ac:dyDescent="0.3">
      <c r="A608" s="90"/>
      <c r="C608" s="1121"/>
      <c r="D608" s="1121"/>
      <c r="E608" s="1121"/>
      <c r="F608" s="1121"/>
    </row>
    <row r="609" spans="1:6" x14ac:dyDescent="0.3">
      <c r="A609" s="90"/>
      <c r="C609" s="101"/>
      <c r="D609" s="101" t="str">
        <f ca="1">' '!$A$363</f>
        <v>Berechnung</v>
      </c>
      <c r="E609" s="101"/>
      <c r="F609" s="101"/>
    </row>
    <row r="610" spans="1:6" x14ac:dyDescent="0.3">
      <c r="A610" s="90"/>
      <c r="C610" s="1121"/>
      <c r="D610" s="1121"/>
      <c r="E610" s="1121" t="s">
        <v>695</v>
      </c>
      <c r="F610" s="1121"/>
    </row>
    <row r="611" spans="1:6" x14ac:dyDescent="0.3">
      <c r="A611" s="90"/>
      <c r="C611" s="101"/>
      <c r="D611" s="102" t="str">
        <f ca="1">' '!$A$365</f>
        <v>Quelle</v>
      </c>
      <c r="E611" s="101" t="str">
        <f ca="1">' '!$A$366</f>
        <v>Erhebungszeitpunkt &amp; Branchenvergleich</v>
      </c>
      <c r="F611" s="101"/>
    </row>
    <row r="612" spans="1:6" x14ac:dyDescent="0.3">
      <c r="A612" s="90"/>
      <c r="C612" s="1122"/>
      <c r="D612" s="1123"/>
      <c r="E612" s="1122"/>
      <c r="F612" s="1123"/>
    </row>
    <row r="613" spans="1:6" x14ac:dyDescent="0.3">
      <c r="A613" s="90"/>
      <c r="C613" s="1122"/>
      <c r="D613" s="1123"/>
      <c r="E613" s="1122"/>
      <c r="F613" s="1123"/>
    </row>
    <row r="614" spans="1:6" x14ac:dyDescent="0.3">
      <c r="A614" s="90"/>
      <c r="C614" s="1122"/>
      <c r="D614" s="1123"/>
      <c r="E614" s="1122"/>
      <c r="F614" s="1123"/>
    </row>
    <row r="615" spans="1:6" x14ac:dyDescent="0.3">
      <c r="A615" s="90"/>
      <c r="C615" s="101"/>
      <c r="D615" s="101"/>
      <c r="E615" s="101"/>
      <c r="F615" s="101"/>
    </row>
    <row r="616" spans="1:6" ht="15.6" x14ac:dyDescent="0.3">
      <c r="A616" s="90"/>
      <c r="D616" s="91"/>
    </row>
    <row r="617" spans="1:6" ht="24" customHeight="1" x14ac:dyDescent="0.3">
      <c r="A617" s="90"/>
      <c r="C617" s="98" t="s">
        <v>651</v>
      </c>
      <c r="D617" s="99">
        <f>_o52</f>
        <v>0</v>
      </c>
      <c r="E617" s="100"/>
      <c r="F617" s="100"/>
    </row>
    <row r="618" spans="1:6" x14ac:dyDescent="0.3">
      <c r="A618" s="90"/>
    </row>
    <row r="619" spans="1:6" x14ac:dyDescent="0.3">
      <c r="A619" s="90"/>
      <c r="C619" s="101"/>
      <c r="D619" s="101" t="str">
        <f ca="1">' '!$A$364</f>
        <v>Beschreibung/Bemerkungen</v>
      </c>
      <c r="E619" s="101"/>
      <c r="F619" s="101"/>
    </row>
    <row r="620" spans="1:6" x14ac:dyDescent="0.3">
      <c r="A620" s="90"/>
      <c r="C620" s="1121"/>
      <c r="D620" s="1121"/>
      <c r="E620" s="1121"/>
      <c r="F620" s="1121"/>
    </row>
    <row r="621" spans="1:6" x14ac:dyDescent="0.3">
      <c r="A621" s="90"/>
      <c r="C621" s="101"/>
      <c r="D621" s="101" t="str">
        <f ca="1">' '!$A$363</f>
        <v>Berechnung</v>
      </c>
      <c r="E621" s="101"/>
      <c r="F621" s="101"/>
    </row>
    <row r="622" spans="1:6" x14ac:dyDescent="0.3">
      <c r="A622" s="90"/>
      <c r="C622" s="1121"/>
      <c r="D622" s="1121"/>
      <c r="E622" s="1121" t="s">
        <v>695</v>
      </c>
      <c r="F622" s="1121"/>
    </row>
    <row r="623" spans="1:6" x14ac:dyDescent="0.3">
      <c r="A623" s="90"/>
      <c r="C623" s="101"/>
      <c r="D623" s="102" t="str">
        <f ca="1">' '!$A$365</f>
        <v>Quelle</v>
      </c>
      <c r="E623" s="101" t="str">
        <f ca="1">' '!$A$366</f>
        <v>Erhebungszeitpunkt &amp; Branchenvergleich</v>
      </c>
      <c r="F623" s="101"/>
    </row>
    <row r="624" spans="1:6" x14ac:dyDescent="0.3">
      <c r="A624" s="90"/>
      <c r="C624" s="1122"/>
      <c r="D624" s="1123"/>
      <c r="E624" s="1122"/>
      <c r="F624" s="1123"/>
    </row>
    <row r="625" spans="1:6" x14ac:dyDescent="0.3">
      <c r="A625" s="90"/>
      <c r="C625" s="1122"/>
      <c r="D625" s="1123"/>
      <c r="E625" s="1122"/>
      <c r="F625" s="1123"/>
    </row>
    <row r="626" spans="1:6" x14ac:dyDescent="0.3">
      <c r="A626" s="90"/>
      <c r="C626" s="1122"/>
      <c r="D626" s="1123"/>
      <c r="E626" s="1122"/>
      <c r="F626" s="1123"/>
    </row>
    <row r="627" spans="1:6" x14ac:dyDescent="0.3">
      <c r="A627" s="90"/>
      <c r="C627" s="101"/>
      <c r="D627" s="101"/>
      <c r="E627" s="101"/>
      <c r="F627" s="101"/>
    </row>
    <row r="628" spans="1:6" ht="15.6" x14ac:dyDescent="0.3">
      <c r="A628" s="90"/>
      <c r="D628" s="91"/>
    </row>
    <row r="629" spans="1:6" ht="24" customHeight="1" x14ac:dyDescent="0.3">
      <c r="A629" s="90"/>
      <c r="C629" s="98" t="s">
        <v>653</v>
      </c>
      <c r="D629" s="99">
        <f>_o53</f>
        <v>0</v>
      </c>
      <c r="E629" s="100"/>
      <c r="F629" s="100"/>
    </row>
    <row r="630" spans="1:6" x14ac:dyDescent="0.3">
      <c r="A630" s="90"/>
    </row>
    <row r="631" spans="1:6" x14ac:dyDescent="0.3">
      <c r="A631" s="90"/>
      <c r="C631" s="101"/>
      <c r="D631" s="101" t="str">
        <f ca="1">' '!$A$364</f>
        <v>Beschreibung/Bemerkungen</v>
      </c>
      <c r="E631" s="101"/>
      <c r="F631" s="101"/>
    </row>
    <row r="632" spans="1:6" x14ac:dyDescent="0.3">
      <c r="A632" s="90"/>
      <c r="C632" s="1121"/>
      <c r="D632" s="1121"/>
      <c r="E632" s="1121"/>
      <c r="F632" s="1121"/>
    </row>
    <row r="633" spans="1:6" x14ac:dyDescent="0.3">
      <c r="A633" s="90"/>
      <c r="C633" s="101"/>
      <c r="D633" s="101" t="str">
        <f ca="1">' '!$A$363</f>
        <v>Berechnung</v>
      </c>
      <c r="E633" s="101"/>
      <c r="F633" s="101"/>
    </row>
    <row r="634" spans="1:6" x14ac:dyDescent="0.3">
      <c r="A634" s="90"/>
      <c r="C634" s="1121"/>
      <c r="D634" s="1121"/>
      <c r="E634" s="1121" t="s">
        <v>695</v>
      </c>
      <c r="F634" s="1121"/>
    </row>
    <row r="635" spans="1:6" x14ac:dyDescent="0.3">
      <c r="A635" s="90"/>
      <c r="C635" s="101"/>
      <c r="D635" s="102" t="str">
        <f ca="1">' '!$A$365</f>
        <v>Quelle</v>
      </c>
      <c r="E635" s="101" t="str">
        <f ca="1">' '!$A$366</f>
        <v>Erhebungszeitpunkt &amp; Branchenvergleich</v>
      </c>
      <c r="F635" s="101"/>
    </row>
    <row r="636" spans="1:6" x14ac:dyDescent="0.3">
      <c r="A636" s="90"/>
      <c r="C636" s="1122"/>
      <c r="D636" s="1123"/>
      <c r="E636" s="1122"/>
      <c r="F636" s="1123"/>
    </row>
    <row r="637" spans="1:6" x14ac:dyDescent="0.3">
      <c r="A637" s="90"/>
      <c r="C637" s="1122"/>
      <c r="D637" s="1123"/>
      <c r="E637" s="1122"/>
      <c r="F637" s="1123"/>
    </row>
    <row r="638" spans="1:6" x14ac:dyDescent="0.3">
      <c r="A638" s="90"/>
      <c r="C638" s="1122"/>
      <c r="D638" s="1123"/>
      <c r="E638" s="1122"/>
      <c r="F638" s="1123"/>
    </row>
    <row r="639" spans="1:6" x14ac:dyDescent="0.3">
      <c r="A639" s="90"/>
      <c r="C639" s="101"/>
      <c r="D639" s="101"/>
      <c r="E639" s="101"/>
      <c r="F639" s="101"/>
    </row>
    <row r="640" spans="1:6" ht="15.6" x14ac:dyDescent="0.3">
      <c r="A640" s="90"/>
      <c r="D640" s="91"/>
    </row>
    <row r="641" spans="1:6" ht="24" customHeight="1" x14ac:dyDescent="0.3">
      <c r="A641" s="90"/>
      <c r="C641" s="98" t="s">
        <v>654</v>
      </c>
      <c r="D641" s="99">
        <f>_o54</f>
        <v>0</v>
      </c>
      <c r="E641" s="100"/>
      <c r="F641" s="100"/>
    </row>
    <row r="642" spans="1:6" x14ac:dyDescent="0.3">
      <c r="A642" s="90"/>
    </row>
    <row r="643" spans="1:6" x14ac:dyDescent="0.3">
      <c r="A643" s="90"/>
      <c r="C643" s="101"/>
      <c r="D643" s="101" t="str">
        <f ca="1">' '!$A$364</f>
        <v>Beschreibung/Bemerkungen</v>
      </c>
      <c r="E643" s="101"/>
      <c r="F643" s="101"/>
    </row>
    <row r="644" spans="1:6" x14ac:dyDescent="0.3">
      <c r="A644" s="90"/>
      <c r="C644" s="1121"/>
      <c r="D644" s="1121"/>
      <c r="E644" s="1121"/>
      <c r="F644" s="1121"/>
    </row>
    <row r="645" spans="1:6" x14ac:dyDescent="0.3">
      <c r="A645" s="90"/>
      <c r="C645" s="101"/>
      <c r="D645" s="101" t="str">
        <f ca="1">' '!$A$363</f>
        <v>Berechnung</v>
      </c>
      <c r="E645" s="101"/>
      <c r="F645" s="101"/>
    </row>
    <row r="646" spans="1:6" x14ac:dyDescent="0.3">
      <c r="A646" s="90"/>
      <c r="C646" s="1121"/>
      <c r="D646" s="1121"/>
      <c r="E646" s="1121" t="s">
        <v>695</v>
      </c>
      <c r="F646" s="1121"/>
    </row>
    <row r="647" spans="1:6" x14ac:dyDescent="0.3">
      <c r="A647" s="90"/>
      <c r="C647" s="101"/>
      <c r="D647" s="102" t="str">
        <f ca="1">' '!$A$365</f>
        <v>Quelle</v>
      </c>
      <c r="E647" s="101" t="str">
        <f ca="1">' '!$A$366</f>
        <v>Erhebungszeitpunkt &amp; Branchenvergleich</v>
      </c>
      <c r="F647" s="101"/>
    </row>
    <row r="648" spans="1:6" x14ac:dyDescent="0.3">
      <c r="A648" s="90"/>
      <c r="C648" s="1122"/>
      <c r="D648" s="1123"/>
      <c r="E648" s="1122"/>
      <c r="F648" s="1123"/>
    </row>
    <row r="649" spans="1:6" x14ac:dyDescent="0.3">
      <c r="A649" s="90"/>
      <c r="C649" s="1122"/>
      <c r="D649" s="1123"/>
      <c r="E649" s="1122"/>
      <c r="F649" s="1123"/>
    </row>
    <row r="650" spans="1:6" x14ac:dyDescent="0.3">
      <c r="A650" s="90"/>
      <c r="C650" s="1122"/>
      <c r="D650" s="1123"/>
      <c r="E650" s="1122"/>
      <c r="F650" s="1123"/>
    </row>
    <row r="651" spans="1:6" x14ac:dyDescent="0.3">
      <c r="A651" s="90"/>
      <c r="C651" s="101"/>
      <c r="D651" s="101"/>
      <c r="E651" s="101"/>
      <c r="F651" s="101"/>
    </row>
    <row r="652" spans="1:6" ht="15.6" x14ac:dyDescent="0.3">
      <c r="A652" s="90"/>
      <c r="D652" s="91"/>
    </row>
    <row r="653" spans="1:6" ht="24" customHeight="1" x14ac:dyDescent="0.3">
      <c r="A653" s="90"/>
      <c r="C653" s="98" t="s">
        <v>656</v>
      </c>
      <c r="D653" s="99">
        <f>_o55</f>
        <v>0</v>
      </c>
      <c r="E653" s="100"/>
      <c r="F653" s="100"/>
    </row>
    <row r="654" spans="1:6" x14ac:dyDescent="0.3">
      <c r="A654" s="90"/>
    </row>
    <row r="655" spans="1:6" x14ac:dyDescent="0.3">
      <c r="A655" s="90"/>
      <c r="C655" s="101"/>
      <c r="D655" s="101" t="str">
        <f ca="1">' '!$A$364</f>
        <v>Beschreibung/Bemerkungen</v>
      </c>
      <c r="E655" s="101"/>
      <c r="F655" s="101"/>
    </row>
    <row r="656" spans="1:6" x14ac:dyDescent="0.3">
      <c r="A656" s="90"/>
      <c r="C656" s="1121"/>
      <c r="D656" s="1121"/>
      <c r="E656" s="1121"/>
      <c r="F656" s="1121"/>
    </row>
    <row r="657" spans="1:6" x14ac:dyDescent="0.3">
      <c r="A657" s="90"/>
      <c r="C657" s="101"/>
      <c r="D657" s="101" t="str">
        <f ca="1">' '!$A$363</f>
        <v>Berechnung</v>
      </c>
      <c r="E657" s="101"/>
      <c r="F657" s="101"/>
    </row>
    <row r="658" spans="1:6" x14ac:dyDescent="0.3">
      <c r="A658" s="90"/>
      <c r="C658" s="1121"/>
      <c r="D658" s="1121"/>
      <c r="E658" s="1121" t="s">
        <v>695</v>
      </c>
      <c r="F658" s="1121"/>
    </row>
    <row r="659" spans="1:6" x14ac:dyDescent="0.3">
      <c r="A659" s="90"/>
      <c r="C659" s="101"/>
      <c r="D659" s="102" t="str">
        <f ca="1">' '!$A$365</f>
        <v>Quelle</v>
      </c>
      <c r="E659" s="101" t="str">
        <f ca="1">' '!$A$366</f>
        <v>Erhebungszeitpunkt &amp; Branchenvergleich</v>
      </c>
      <c r="F659" s="101"/>
    </row>
    <row r="660" spans="1:6" x14ac:dyDescent="0.3">
      <c r="A660" s="90"/>
      <c r="C660" s="1122"/>
      <c r="D660" s="1123"/>
      <c r="E660" s="1122"/>
      <c r="F660" s="1123"/>
    </row>
    <row r="661" spans="1:6" x14ac:dyDescent="0.3">
      <c r="A661" s="90"/>
      <c r="C661" s="1122"/>
      <c r="D661" s="1123"/>
      <c r="E661" s="1122"/>
      <c r="F661" s="1123"/>
    </row>
    <row r="662" spans="1:6" x14ac:dyDescent="0.3">
      <c r="A662" s="90"/>
      <c r="C662" s="1122"/>
      <c r="D662" s="1123"/>
      <c r="E662" s="1122"/>
      <c r="F662" s="1123"/>
    </row>
    <row r="663" spans="1:6" x14ac:dyDescent="0.3">
      <c r="A663" s="90"/>
      <c r="C663" s="101"/>
      <c r="D663" s="101"/>
      <c r="E663" s="101"/>
      <c r="F663" s="101"/>
    </row>
    <row r="664" spans="1:6" ht="15.6" x14ac:dyDescent="0.3">
      <c r="A664" s="90"/>
      <c r="D664" s="91"/>
    </row>
    <row r="665" spans="1:6" ht="24" customHeight="1" x14ac:dyDescent="0.3">
      <c r="A665" s="90"/>
      <c r="C665" s="98" t="s">
        <v>657</v>
      </c>
      <c r="D665" s="99">
        <f>_o56</f>
        <v>0</v>
      </c>
      <c r="E665" s="100"/>
      <c r="F665" s="100"/>
    </row>
    <row r="666" spans="1:6" x14ac:dyDescent="0.3">
      <c r="A666" s="90"/>
    </row>
    <row r="667" spans="1:6" x14ac:dyDescent="0.3">
      <c r="A667" s="90"/>
      <c r="C667" s="101"/>
      <c r="D667" s="101" t="str">
        <f ca="1">' '!$A$364</f>
        <v>Beschreibung/Bemerkungen</v>
      </c>
      <c r="E667" s="101"/>
      <c r="F667" s="101"/>
    </row>
    <row r="668" spans="1:6" x14ac:dyDescent="0.3">
      <c r="A668" s="90"/>
      <c r="C668" s="1121"/>
      <c r="D668" s="1121"/>
      <c r="E668" s="1121"/>
      <c r="F668" s="1121"/>
    </row>
    <row r="669" spans="1:6" x14ac:dyDescent="0.3">
      <c r="A669" s="90"/>
      <c r="C669" s="101"/>
      <c r="D669" s="101" t="str">
        <f ca="1">' '!$A$363</f>
        <v>Berechnung</v>
      </c>
      <c r="E669" s="101"/>
      <c r="F669" s="101"/>
    </row>
    <row r="670" spans="1:6" x14ac:dyDescent="0.3">
      <c r="A670" s="90"/>
      <c r="C670" s="1121"/>
      <c r="D670" s="1121"/>
      <c r="E670" s="1121" t="s">
        <v>695</v>
      </c>
      <c r="F670" s="1121"/>
    </row>
    <row r="671" spans="1:6" x14ac:dyDescent="0.3">
      <c r="A671" s="90"/>
      <c r="C671" s="101"/>
      <c r="D671" s="102" t="str">
        <f ca="1">' '!$A$365</f>
        <v>Quelle</v>
      </c>
      <c r="E671" s="101" t="str">
        <f ca="1">' '!$A$366</f>
        <v>Erhebungszeitpunkt &amp; Branchenvergleich</v>
      </c>
      <c r="F671" s="101"/>
    </row>
    <row r="672" spans="1:6" x14ac:dyDescent="0.3">
      <c r="A672" s="90"/>
      <c r="C672" s="1122"/>
      <c r="D672" s="1123"/>
      <c r="E672" s="1122"/>
      <c r="F672" s="1123"/>
    </row>
    <row r="673" spans="1:6" x14ac:dyDescent="0.3">
      <c r="A673" s="90"/>
      <c r="C673" s="1122"/>
      <c r="D673" s="1123"/>
      <c r="E673" s="1122"/>
      <c r="F673" s="1123"/>
    </row>
    <row r="674" spans="1:6" x14ac:dyDescent="0.3">
      <c r="A674" s="90"/>
      <c r="C674" s="1122"/>
      <c r="D674" s="1123"/>
      <c r="E674" s="1122"/>
      <c r="F674" s="1123"/>
    </row>
    <row r="675" spans="1:6" x14ac:dyDescent="0.3">
      <c r="A675" s="90"/>
      <c r="C675" s="101"/>
      <c r="D675" s="101"/>
      <c r="E675" s="101"/>
      <c r="F675" s="101"/>
    </row>
    <row r="676" spans="1:6" ht="15.6" x14ac:dyDescent="0.3">
      <c r="A676" s="90"/>
      <c r="D676" s="91"/>
    </row>
    <row r="677" spans="1:6" ht="24" customHeight="1" x14ac:dyDescent="0.3">
      <c r="A677" s="90"/>
      <c r="C677" s="98" t="s">
        <v>659</v>
      </c>
      <c r="D677" s="99">
        <f>_o57</f>
        <v>0</v>
      </c>
      <c r="E677" s="100"/>
      <c r="F677" s="100"/>
    </row>
    <row r="678" spans="1:6" x14ac:dyDescent="0.3">
      <c r="A678" s="90"/>
    </row>
    <row r="679" spans="1:6" x14ac:dyDescent="0.3">
      <c r="A679" s="90"/>
      <c r="C679" s="101"/>
      <c r="D679" s="101" t="str">
        <f ca="1">' '!$A$364</f>
        <v>Beschreibung/Bemerkungen</v>
      </c>
      <c r="E679" s="101"/>
      <c r="F679" s="101"/>
    </row>
    <row r="680" spans="1:6" x14ac:dyDescent="0.3">
      <c r="A680" s="90"/>
      <c r="C680" s="1121"/>
      <c r="D680" s="1121"/>
      <c r="E680" s="1121"/>
      <c r="F680" s="1121"/>
    </row>
    <row r="681" spans="1:6" x14ac:dyDescent="0.3">
      <c r="A681" s="90"/>
      <c r="C681" s="101"/>
      <c r="D681" s="101" t="str">
        <f ca="1">' '!$A$363</f>
        <v>Berechnung</v>
      </c>
      <c r="E681" s="101"/>
      <c r="F681" s="101"/>
    </row>
    <row r="682" spans="1:6" x14ac:dyDescent="0.3">
      <c r="A682" s="90"/>
      <c r="C682" s="1121"/>
      <c r="D682" s="1121"/>
      <c r="E682" s="1121" t="s">
        <v>695</v>
      </c>
      <c r="F682" s="1121"/>
    </row>
    <row r="683" spans="1:6" x14ac:dyDescent="0.3">
      <c r="A683" s="90"/>
      <c r="C683" s="101"/>
      <c r="D683" s="102" t="str">
        <f ca="1">' '!$A$365</f>
        <v>Quelle</v>
      </c>
      <c r="E683" s="101" t="str">
        <f ca="1">' '!$A$366</f>
        <v>Erhebungszeitpunkt &amp; Branchenvergleich</v>
      </c>
      <c r="F683" s="101"/>
    </row>
    <row r="684" spans="1:6" x14ac:dyDescent="0.3">
      <c r="A684" s="90"/>
      <c r="C684" s="1122"/>
      <c r="D684" s="1123"/>
      <c r="E684" s="1122"/>
      <c r="F684" s="1123"/>
    </row>
    <row r="685" spans="1:6" x14ac:dyDescent="0.3">
      <c r="A685" s="90"/>
      <c r="C685" s="1122"/>
      <c r="D685" s="1123"/>
      <c r="E685" s="1122"/>
      <c r="F685" s="1123"/>
    </row>
    <row r="686" spans="1:6" x14ac:dyDescent="0.3">
      <c r="A686" s="90"/>
      <c r="C686" s="1122"/>
      <c r="D686" s="1123"/>
      <c r="E686" s="1122"/>
      <c r="F686" s="1123"/>
    </row>
    <row r="687" spans="1:6" x14ac:dyDescent="0.3">
      <c r="A687" s="90"/>
      <c r="C687" s="101"/>
      <c r="D687" s="101"/>
      <c r="E687" s="101"/>
      <c r="F687" s="101"/>
    </row>
    <row r="688" spans="1:6" ht="15.6" x14ac:dyDescent="0.3">
      <c r="A688" s="90"/>
      <c r="D688" s="91"/>
    </row>
    <row r="689" spans="1:6" ht="24" customHeight="1" x14ac:dyDescent="0.3">
      <c r="A689" s="90"/>
      <c r="C689" s="98" t="s">
        <v>660</v>
      </c>
      <c r="D689" s="99">
        <f>_o58</f>
        <v>0</v>
      </c>
      <c r="E689" s="100"/>
      <c r="F689" s="100"/>
    </row>
    <row r="690" spans="1:6" x14ac:dyDescent="0.3">
      <c r="A690" s="90"/>
    </row>
    <row r="691" spans="1:6" x14ac:dyDescent="0.3">
      <c r="A691" s="90"/>
      <c r="C691" s="101"/>
      <c r="D691" s="101" t="str">
        <f ca="1">' '!$A$364</f>
        <v>Beschreibung/Bemerkungen</v>
      </c>
      <c r="E691" s="101"/>
      <c r="F691" s="101"/>
    </row>
    <row r="692" spans="1:6" x14ac:dyDescent="0.3">
      <c r="A692" s="90"/>
      <c r="C692" s="1121"/>
      <c r="D692" s="1121"/>
      <c r="E692" s="1121"/>
      <c r="F692" s="1121"/>
    </row>
    <row r="693" spans="1:6" x14ac:dyDescent="0.3">
      <c r="A693" s="90"/>
      <c r="C693" s="101"/>
      <c r="D693" s="101" t="str">
        <f ca="1">' '!$A$363</f>
        <v>Berechnung</v>
      </c>
      <c r="E693" s="101"/>
      <c r="F693" s="101"/>
    </row>
    <row r="694" spans="1:6" x14ac:dyDescent="0.3">
      <c r="A694" s="90"/>
      <c r="C694" s="1121"/>
      <c r="D694" s="1121"/>
      <c r="E694" s="1121" t="s">
        <v>695</v>
      </c>
      <c r="F694" s="1121"/>
    </row>
    <row r="695" spans="1:6" x14ac:dyDescent="0.3">
      <c r="A695" s="90"/>
      <c r="C695" s="101"/>
      <c r="D695" s="102" t="str">
        <f ca="1">' '!$A$365</f>
        <v>Quelle</v>
      </c>
      <c r="E695" s="101" t="str">
        <f ca="1">' '!$A$366</f>
        <v>Erhebungszeitpunkt &amp; Branchenvergleich</v>
      </c>
      <c r="F695" s="101"/>
    </row>
    <row r="696" spans="1:6" x14ac:dyDescent="0.3">
      <c r="A696" s="90"/>
      <c r="C696" s="1122"/>
      <c r="D696" s="1123"/>
      <c r="E696" s="1122"/>
      <c r="F696" s="1123"/>
    </row>
    <row r="697" spans="1:6" x14ac:dyDescent="0.3">
      <c r="A697" s="90"/>
      <c r="C697" s="1122"/>
      <c r="D697" s="1123"/>
      <c r="E697" s="1122"/>
      <c r="F697" s="1123"/>
    </row>
    <row r="698" spans="1:6" x14ac:dyDescent="0.3">
      <c r="A698" s="90"/>
      <c r="C698" s="1122"/>
      <c r="D698" s="1123"/>
      <c r="E698" s="1122"/>
      <c r="F698" s="1123"/>
    </row>
    <row r="699" spans="1:6" x14ac:dyDescent="0.3">
      <c r="A699" s="90"/>
      <c r="C699" s="101"/>
      <c r="D699" s="101"/>
      <c r="E699" s="101"/>
      <c r="F699" s="101"/>
    </row>
    <row r="700" spans="1:6" ht="15.6" x14ac:dyDescent="0.3">
      <c r="A700" s="90"/>
      <c r="D700" s="91"/>
    </row>
    <row r="701" spans="1:6" ht="24" customHeight="1" x14ac:dyDescent="0.3">
      <c r="A701" s="90"/>
      <c r="C701" s="98" t="s">
        <v>662</v>
      </c>
      <c r="D701" s="99">
        <f>_o59</f>
        <v>0</v>
      </c>
      <c r="E701" s="100"/>
      <c r="F701" s="100"/>
    </row>
    <row r="702" spans="1:6" x14ac:dyDescent="0.3">
      <c r="A702" s="90"/>
    </row>
    <row r="703" spans="1:6" x14ac:dyDescent="0.3">
      <c r="A703" s="90"/>
      <c r="C703" s="101"/>
      <c r="D703" s="101" t="str">
        <f ca="1">' '!$A$364</f>
        <v>Beschreibung/Bemerkungen</v>
      </c>
      <c r="E703" s="101"/>
      <c r="F703" s="101"/>
    </row>
    <row r="704" spans="1:6" x14ac:dyDescent="0.3">
      <c r="A704" s="90"/>
      <c r="C704" s="1121"/>
      <c r="D704" s="1121"/>
      <c r="E704" s="1121"/>
      <c r="F704" s="1121"/>
    </row>
    <row r="705" spans="1:6" x14ac:dyDescent="0.3">
      <c r="A705" s="90"/>
      <c r="C705" s="101"/>
      <c r="D705" s="101" t="str">
        <f ca="1">' '!$A$363</f>
        <v>Berechnung</v>
      </c>
      <c r="E705" s="101"/>
      <c r="F705" s="101"/>
    </row>
    <row r="706" spans="1:6" x14ac:dyDescent="0.3">
      <c r="A706" s="90"/>
      <c r="C706" s="1121"/>
      <c r="D706" s="1121"/>
      <c r="E706" s="1121" t="s">
        <v>695</v>
      </c>
      <c r="F706" s="1121"/>
    </row>
    <row r="707" spans="1:6" x14ac:dyDescent="0.3">
      <c r="A707" s="90"/>
      <c r="C707" s="101"/>
      <c r="D707" s="102" t="str">
        <f ca="1">' '!$A$365</f>
        <v>Quelle</v>
      </c>
      <c r="E707" s="101" t="str">
        <f ca="1">' '!$A$366</f>
        <v>Erhebungszeitpunkt &amp; Branchenvergleich</v>
      </c>
      <c r="F707" s="101"/>
    </row>
    <row r="708" spans="1:6" x14ac:dyDescent="0.3">
      <c r="A708" s="90"/>
      <c r="C708" s="1122"/>
      <c r="D708" s="1123"/>
      <c r="E708" s="1122"/>
      <c r="F708" s="1123"/>
    </row>
    <row r="709" spans="1:6" x14ac:dyDescent="0.3">
      <c r="A709" s="90"/>
      <c r="C709" s="1122"/>
      <c r="D709" s="1123"/>
      <c r="E709" s="1122"/>
      <c r="F709" s="1123"/>
    </row>
    <row r="710" spans="1:6" x14ac:dyDescent="0.3">
      <c r="A710" s="90"/>
      <c r="C710" s="1122"/>
      <c r="D710" s="1123"/>
      <c r="E710" s="1122"/>
      <c r="F710" s="1123"/>
    </row>
    <row r="711" spans="1:6" x14ac:dyDescent="0.3">
      <c r="A711" s="90"/>
      <c r="C711" s="101"/>
      <c r="D711" s="101"/>
      <c r="E711" s="101"/>
      <c r="F711" s="101"/>
    </row>
    <row r="712" spans="1:6" ht="15.6" x14ac:dyDescent="0.3">
      <c r="A712" s="90"/>
      <c r="D712" s="91"/>
    </row>
    <row r="713" spans="1:6" ht="24" customHeight="1" x14ac:dyDescent="0.3">
      <c r="A713" s="90"/>
      <c r="C713" s="98" t="s">
        <v>663</v>
      </c>
      <c r="D713" s="99">
        <f>_o60</f>
        <v>0</v>
      </c>
      <c r="E713" s="100"/>
      <c r="F713" s="100"/>
    </row>
    <row r="714" spans="1:6" x14ac:dyDescent="0.3">
      <c r="A714" s="90"/>
    </row>
    <row r="715" spans="1:6" x14ac:dyDescent="0.3">
      <c r="A715" s="90"/>
      <c r="C715" s="101"/>
      <c r="D715" s="101" t="str">
        <f ca="1">' '!$A$364</f>
        <v>Beschreibung/Bemerkungen</v>
      </c>
      <c r="E715" s="101"/>
      <c r="F715" s="101"/>
    </row>
    <row r="716" spans="1:6" x14ac:dyDescent="0.3">
      <c r="A716" s="90"/>
      <c r="C716" s="1121"/>
      <c r="D716" s="1121"/>
      <c r="E716" s="1121"/>
      <c r="F716" s="1121"/>
    </row>
    <row r="717" spans="1:6" x14ac:dyDescent="0.3">
      <c r="A717" s="90"/>
      <c r="C717" s="101"/>
      <c r="D717" s="101" t="str">
        <f ca="1">' '!$A$363</f>
        <v>Berechnung</v>
      </c>
      <c r="E717" s="101"/>
      <c r="F717" s="101"/>
    </row>
    <row r="718" spans="1:6" x14ac:dyDescent="0.3">
      <c r="A718" s="90"/>
      <c r="C718" s="1121"/>
      <c r="D718" s="1121"/>
      <c r="E718" s="1121" t="s">
        <v>695</v>
      </c>
      <c r="F718" s="1121"/>
    </row>
    <row r="719" spans="1:6" x14ac:dyDescent="0.3">
      <c r="A719" s="90"/>
      <c r="C719" s="101"/>
      <c r="D719" s="102" t="str">
        <f ca="1">' '!$A$365</f>
        <v>Quelle</v>
      </c>
      <c r="E719" s="101" t="str">
        <f ca="1">' '!$A$366</f>
        <v>Erhebungszeitpunkt &amp; Branchenvergleich</v>
      </c>
      <c r="F719" s="101"/>
    </row>
    <row r="720" spans="1:6" x14ac:dyDescent="0.3">
      <c r="A720" s="90"/>
      <c r="C720" s="1122"/>
      <c r="D720" s="1123"/>
      <c r="E720" s="1122"/>
      <c r="F720" s="1123"/>
    </row>
    <row r="721" spans="1:6" x14ac:dyDescent="0.3">
      <c r="A721" s="90"/>
      <c r="C721" s="1122"/>
      <c r="D721" s="1123"/>
      <c r="E721" s="1122"/>
      <c r="F721" s="1123"/>
    </row>
    <row r="722" spans="1:6" x14ac:dyDescent="0.3">
      <c r="A722" s="90"/>
      <c r="C722" s="1122"/>
      <c r="D722" s="1123"/>
      <c r="E722" s="1122"/>
      <c r="F722" s="1123"/>
    </row>
    <row r="723" spans="1:6" x14ac:dyDescent="0.3">
      <c r="A723" s="90"/>
      <c r="C723" s="101"/>
      <c r="D723" s="101"/>
      <c r="E723" s="101"/>
      <c r="F723" s="101"/>
    </row>
    <row r="724" spans="1:6" ht="15.6" x14ac:dyDescent="0.3">
      <c r="A724" s="90"/>
      <c r="D724" s="91"/>
    </row>
    <row r="725" spans="1:6" ht="24" customHeight="1" x14ac:dyDescent="0.3">
      <c r="A725" s="90"/>
      <c r="C725" s="98" t="s">
        <v>665</v>
      </c>
      <c r="D725" s="99">
        <f>_o61</f>
        <v>0</v>
      </c>
      <c r="E725" s="100"/>
      <c r="F725" s="100"/>
    </row>
    <row r="726" spans="1:6" x14ac:dyDescent="0.3">
      <c r="A726" s="90"/>
    </row>
    <row r="727" spans="1:6" x14ac:dyDescent="0.3">
      <c r="A727" s="90"/>
      <c r="C727" s="101"/>
      <c r="D727" s="101" t="str">
        <f ca="1">' '!$A$364</f>
        <v>Beschreibung/Bemerkungen</v>
      </c>
      <c r="E727" s="101"/>
      <c r="F727" s="101"/>
    </row>
    <row r="728" spans="1:6" x14ac:dyDescent="0.3">
      <c r="A728" s="90"/>
      <c r="C728" s="1121"/>
      <c r="D728" s="1121"/>
      <c r="E728" s="1121"/>
      <c r="F728" s="1121"/>
    </row>
    <row r="729" spans="1:6" x14ac:dyDescent="0.3">
      <c r="A729" s="90"/>
      <c r="C729" s="101"/>
      <c r="D729" s="101" t="str">
        <f ca="1">' '!$A$363</f>
        <v>Berechnung</v>
      </c>
      <c r="E729" s="101"/>
      <c r="F729" s="101"/>
    </row>
    <row r="730" spans="1:6" x14ac:dyDescent="0.3">
      <c r="A730" s="90"/>
      <c r="C730" s="1121"/>
      <c r="D730" s="1121"/>
      <c r="E730" s="1121" t="s">
        <v>695</v>
      </c>
      <c r="F730" s="1121"/>
    </row>
    <row r="731" spans="1:6" x14ac:dyDescent="0.3">
      <c r="A731" s="90"/>
      <c r="C731" s="101"/>
      <c r="D731" s="102" t="str">
        <f ca="1">' '!$A$365</f>
        <v>Quelle</v>
      </c>
      <c r="E731" s="101" t="str">
        <f ca="1">' '!$A$366</f>
        <v>Erhebungszeitpunkt &amp; Branchenvergleich</v>
      </c>
      <c r="F731" s="101"/>
    </row>
    <row r="732" spans="1:6" x14ac:dyDescent="0.3">
      <c r="A732" s="90"/>
      <c r="C732" s="1122"/>
      <c r="D732" s="1123"/>
      <c r="E732" s="1122"/>
      <c r="F732" s="1123"/>
    </row>
    <row r="733" spans="1:6" x14ac:dyDescent="0.3">
      <c r="A733" s="90"/>
      <c r="C733" s="1122"/>
      <c r="D733" s="1123"/>
      <c r="E733" s="1122"/>
      <c r="F733" s="1123"/>
    </row>
    <row r="734" spans="1:6" x14ac:dyDescent="0.3">
      <c r="A734" s="90"/>
      <c r="C734" s="1122"/>
      <c r="D734" s="1123"/>
      <c r="E734" s="1122"/>
      <c r="F734" s="1123"/>
    </row>
    <row r="735" spans="1:6" x14ac:dyDescent="0.3">
      <c r="A735" s="90"/>
      <c r="C735" s="101"/>
      <c r="D735" s="101"/>
      <c r="E735" s="101"/>
      <c r="F735" s="101"/>
    </row>
    <row r="736" spans="1:6" ht="15.6" x14ac:dyDescent="0.3">
      <c r="A736" s="90"/>
      <c r="D736" s="91"/>
    </row>
    <row r="737" spans="1:6" ht="24" customHeight="1" x14ac:dyDescent="0.3">
      <c r="A737" s="90"/>
      <c r="C737" s="98" t="s">
        <v>666</v>
      </c>
      <c r="D737" s="99">
        <f>_o62</f>
        <v>0</v>
      </c>
      <c r="E737" s="100"/>
      <c r="F737" s="100"/>
    </row>
    <row r="738" spans="1:6" x14ac:dyDescent="0.3">
      <c r="A738" s="90"/>
    </row>
    <row r="739" spans="1:6" x14ac:dyDescent="0.3">
      <c r="A739" s="90"/>
      <c r="C739" s="101"/>
      <c r="D739" s="101" t="str">
        <f ca="1">' '!$A$364</f>
        <v>Beschreibung/Bemerkungen</v>
      </c>
      <c r="E739" s="101"/>
      <c r="F739" s="101"/>
    </row>
    <row r="740" spans="1:6" x14ac:dyDescent="0.3">
      <c r="A740" s="90"/>
      <c r="C740" s="1121"/>
      <c r="D740" s="1121"/>
      <c r="E740" s="1121"/>
      <c r="F740" s="1121"/>
    </row>
    <row r="741" spans="1:6" x14ac:dyDescent="0.3">
      <c r="A741" s="90"/>
      <c r="C741" s="101"/>
      <c r="D741" s="101" t="str">
        <f ca="1">' '!$A$363</f>
        <v>Berechnung</v>
      </c>
      <c r="E741" s="101"/>
      <c r="F741" s="101"/>
    </row>
    <row r="742" spans="1:6" x14ac:dyDescent="0.3">
      <c r="A742" s="90"/>
      <c r="C742" s="1121"/>
      <c r="D742" s="1121"/>
      <c r="E742" s="1121" t="s">
        <v>695</v>
      </c>
      <c r="F742" s="1121"/>
    </row>
    <row r="743" spans="1:6" x14ac:dyDescent="0.3">
      <c r="A743" s="90"/>
      <c r="C743" s="101"/>
      <c r="D743" s="102" t="str">
        <f ca="1">' '!$A$365</f>
        <v>Quelle</v>
      </c>
      <c r="E743" s="101" t="str">
        <f ca="1">' '!$A$366</f>
        <v>Erhebungszeitpunkt &amp; Branchenvergleich</v>
      </c>
      <c r="F743" s="101"/>
    </row>
    <row r="744" spans="1:6" x14ac:dyDescent="0.3">
      <c r="A744" s="90"/>
      <c r="C744" s="1122"/>
      <c r="D744" s="1123"/>
      <c r="E744" s="1122"/>
      <c r="F744" s="1123"/>
    </row>
    <row r="745" spans="1:6" x14ac:dyDescent="0.3">
      <c r="A745" s="90"/>
      <c r="C745" s="1122"/>
      <c r="D745" s="1123"/>
      <c r="E745" s="1122"/>
      <c r="F745" s="1123"/>
    </row>
    <row r="746" spans="1:6" x14ac:dyDescent="0.3">
      <c r="A746" s="90"/>
      <c r="C746" s="1122"/>
      <c r="D746" s="1123"/>
      <c r="E746" s="1122"/>
      <c r="F746" s="1123"/>
    </row>
    <row r="747" spans="1:6" x14ac:dyDescent="0.3">
      <c r="A747" s="90"/>
      <c r="C747" s="101"/>
      <c r="D747" s="101"/>
      <c r="E747" s="101"/>
      <c r="F747" s="101"/>
    </row>
    <row r="748" spans="1:6" ht="15.6" x14ac:dyDescent="0.3">
      <c r="A748" s="90"/>
      <c r="D748" s="91"/>
    </row>
    <row r="749" spans="1:6" ht="24" customHeight="1" x14ac:dyDescent="0.3">
      <c r="A749" s="90"/>
      <c r="C749" s="98" t="s">
        <v>668</v>
      </c>
      <c r="D749" s="99">
        <f>_o63</f>
        <v>0</v>
      </c>
      <c r="E749" s="100"/>
      <c r="F749" s="100"/>
    </row>
    <row r="750" spans="1:6" x14ac:dyDescent="0.3">
      <c r="A750" s="90"/>
    </row>
    <row r="751" spans="1:6" x14ac:dyDescent="0.3">
      <c r="A751" s="90"/>
      <c r="C751" s="101"/>
      <c r="D751" s="101" t="str">
        <f ca="1">' '!$A$364</f>
        <v>Beschreibung/Bemerkungen</v>
      </c>
      <c r="E751" s="101"/>
      <c r="F751" s="101"/>
    </row>
    <row r="752" spans="1:6" x14ac:dyDescent="0.3">
      <c r="A752" s="90"/>
      <c r="C752" s="1121"/>
      <c r="D752" s="1121"/>
      <c r="E752" s="1121"/>
      <c r="F752" s="1121"/>
    </row>
    <row r="753" spans="1:6" x14ac:dyDescent="0.3">
      <c r="A753" s="90"/>
      <c r="C753" s="101"/>
      <c r="D753" s="101" t="str">
        <f ca="1">' '!$A$363</f>
        <v>Berechnung</v>
      </c>
      <c r="E753" s="101"/>
      <c r="F753" s="101"/>
    </row>
    <row r="754" spans="1:6" x14ac:dyDescent="0.3">
      <c r="A754" s="90"/>
      <c r="C754" s="1121"/>
      <c r="D754" s="1121"/>
      <c r="E754" s="1121" t="s">
        <v>695</v>
      </c>
      <c r="F754" s="1121"/>
    </row>
    <row r="755" spans="1:6" x14ac:dyDescent="0.3">
      <c r="A755" s="90"/>
      <c r="C755" s="101"/>
      <c r="D755" s="102" t="str">
        <f ca="1">' '!$A$365</f>
        <v>Quelle</v>
      </c>
      <c r="E755" s="101" t="str">
        <f ca="1">' '!$A$366</f>
        <v>Erhebungszeitpunkt &amp; Branchenvergleich</v>
      </c>
      <c r="F755" s="101"/>
    </row>
    <row r="756" spans="1:6" x14ac:dyDescent="0.3">
      <c r="A756" s="90"/>
      <c r="C756" s="1122"/>
      <c r="D756" s="1123"/>
      <c r="E756" s="1122"/>
      <c r="F756" s="1123"/>
    </row>
    <row r="757" spans="1:6" x14ac:dyDescent="0.3">
      <c r="A757" s="90"/>
      <c r="C757" s="1122"/>
      <c r="D757" s="1123"/>
      <c r="E757" s="1122"/>
      <c r="F757" s="1123"/>
    </row>
    <row r="758" spans="1:6" x14ac:dyDescent="0.3">
      <c r="A758" s="90"/>
      <c r="C758" s="1122"/>
      <c r="D758" s="1123"/>
      <c r="E758" s="1122"/>
      <c r="F758" s="1123"/>
    </row>
    <row r="759" spans="1:6" x14ac:dyDescent="0.3">
      <c r="A759" s="90"/>
      <c r="C759" s="101"/>
      <c r="D759" s="101"/>
      <c r="E759" s="101"/>
      <c r="F759" s="101"/>
    </row>
    <row r="760" spans="1:6" ht="15.6" x14ac:dyDescent="0.3">
      <c r="A760" s="90"/>
      <c r="D760" s="91"/>
    </row>
    <row r="761" spans="1:6" ht="24" customHeight="1" x14ac:dyDescent="0.3">
      <c r="A761" s="90"/>
      <c r="C761" s="98" t="s">
        <v>669</v>
      </c>
      <c r="D761" s="99">
        <f>_o64</f>
        <v>0</v>
      </c>
      <c r="E761" s="100"/>
      <c r="F761" s="100"/>
    </row>
    <row r="762" spans="1:6" x14ac:dyDescent="0.3">
      <c r="A762" s="90"/>
    </row>
    <row r="763" spans="1:6" x14ac:dyDescent="0.3">
      <c r="A763" s="90"/>
      <c r="C763" s="101"/>
      <c r="D763" s="101" t="str">
        <f ca="1">' '!$A$364</f>
        <v>Beschreibung/Bemerkungen</v>
      </c>
      <c r="E763" s="101"/>
      <c r="F763" s="101"/>
    </row>
    <row r="764" spans="1:6" x14ac:dyDescent="0.3">
      <c r="A764" s="90"/>
      <c r="C764" s="1121"/>
      <c r="D764" s="1121"/>
      <c r="E764" s="1121"/>
      <c r="F764" s="1121"/>
    </row>
    <row r="765" spans="1:6" x14ac:dyDescent="0.3">
      <c r="A765" s="90"/>
      <c r="C765" s="101"/>
      <c r="D765" s="101" t="str">
        <f ca="1">' '!$A$363</f>
        <v>Berechnung</v>
      </c>
      <c r="E765" s="101"/>
      <c r="F765" s="101"/>
    </row>
    <row r="766" spans="1:6" x14ac:dyDescent="0.3">
      <c r="A766" s="90"/>
      <c r="C766" s="1121"/>
      <c r="D766" s="1121"/>
      <c r="E766" s="1121" t="s">
        <v>695</v>
      </c>
      <c r="F766" s="1121"/>
    </row>
    <row r="767" spans="1:6" x14ac:dyDescent="0.3">
      <c r="A767" s="90"/>
      <c r="C767" s="101"/>
      <c r="D767" s="102" t="str">
        <f ca="1">' '!$A$365</f>
        <v>Quelle</v>
      </c>
      <c r="E767" s="101" t="str">
        <f ca="1">' '!$A$366</f>
        <v>Erhebungszeitpunkt &amp; Branchenvergleich</v>
      </c>
      <c r="F767" s="101"/>
    </row>
    <row r="768" spans="1:6" x14ac:dyDescent="0.3">
      <c r="A768" s="90"/>
      <c r="C768" s="1122"/>
      <c r="D768" s="1123"/>
      <c r="E768" s="1122"/>
      <c r="F768" s="1123"/>
    </row>
    <row r="769" spans="1:6" x14ac:dyDescent="0.3">
      <c r="A769" s="90"/>
      <c r="C769" s="1122"/>
      <c r="D769" s="1123"/>
      <c r="E769" s="1122"/>
      <c r="F769" s="1123"/>
    </row>
    <row r="770" spans="1:6" x14ac:dyDescent="0.3">
      <c r="A770" s="90"/>
      <c r="C770" s="1122"/>
      <c r="D770" s="1123"/>
      <c r="E770" s="1122"/>
      <c r="F770" s="1123"/>
    </row>
    <row r="771" spans="1:6" x14ac:dyDescent="0.3">
      <c r="A771" s="90"/>
      <c r="C771" s="101"/>
      <c r="D771" s="101"/>
      <c r="E771" s="101"/>
      <c r="F771" s="101"/>
    </row>
    <row r="772" spans="1:6" ht="15.6" x14ac:dyDescent="0.3">
      <c r="A772" s="90"/>
      <c r="D772" s="91"/>
    </row>
    <row r="773" spans="1:6" ht="24" customHeight="1" x14ac:dyDescent="0.3">
      <c r="A773" s="90"/>
      <c r="C773" s="98" t="s">
        <v>671</v>
      </c>
      <c r="D773" s="99">
        <f>_o65</f>
        <v>0</v>
      </c>
      <c r="E773" s="100"/>
      <c r="F773" s="100"/>
    </row>
    <row r="774" spans="1:6" x14ac:dyDescent="0.3">
      <c r="A774" s="90"/>
    </row>
    <row r="775" spans="1:6" x14ac:dyDescent="0.3">
      <c r="A775" s="90"/>
      <c r="C775" s="101"/>
      <c r="D775" s="101" t="str">
        <f ca="1">' '!$A$364</f>
        <v>Beschreibung/Bemerkungen</v>
      </c>
      <c r="E775" s="101"/>
      <c r="F775" s="101"/>
    </row>
    <row r="776" spans="1:6" x14ac:dyDescent="0.3">
      <c r="A776" s="90"/>
      <c r="C776" s="1121"/>
      <c r="D776" s="1121"/>
      <c r="E776" s="1121"/>
      <c r="F776" s="1121"/>
    </row>
    <row r="777" spans="1:6" x14ac:dyDescent="0.3">
      <c r="A777" s="90"/>
      <c r="C777" s="101"/>
      <c r="D777" s="101" t="str">
        <f ca="1">' '!$A$363</f>
        <v>Berechnung</v>
      </c>
      <c r="E777" s="101"/>
      <c r="F777" s="101"/>
    </row>
    <row r="778" spans="1:6" x14ac:dyDescent="0.3">
      <c r="A778" s="90"/>
      <c r="C778" s="1121"/>
      <c r="D778" s="1121"/>
      <c r="E778" s="1121" t="s">
        <v>695</v>
      </c>
      <c r="F778" s="1121"/>
    </row>
    <row r="779" spans="1:6" x14ac:dyDescent="0.3">
      <c r="A779" s="90"/>
      <c r="C779" s="101"/>
      <c r="D779" s="102" t="str">
        <f ca="1">' '!$A$365</f>
        <v>Quelle</v>
      </c>
      <c r="E779" s="101" t="str">
        <f ca="1">' '!$A$366</f>
        <v>Erhebungszeitpunkt &amp; Branchenvergleich</v>
      </c>
      <c r="F779" s="101"/>
    </row>
    <row r="780" spans="1:6" x14ac:dyDescent="0.3">
      <c r="A780" s="90"/>
      <c r="C780" s="1122"/>
      <c r="D780" s="1123"/>
      <c r="E780" s="1122"/>
      <c r="F780" s="1123"/>
    </row>
    <row r="781" spans="1:6" x14ac:dyDescent="0.3">
      <c r="A781" s="90"/>
      <c r="C781" s="1122"/>
      <c r="D781" s="1123"/>
      <c r="E781" s="1122"/>
      <c r="F781" s="1123"/>
    </row>
    <row r="782" spans="1:6" x14ac:dyDescent="0.3">
      <c r="A782" s="90"/>
      <c r="C782" s="1122"/>
      <c r="D782" s="1123"/>
      <c r="E782" s="1122"/>
      <c r="F782" s="1123"/>
    </row>
    <row r="783" spans="1:6" x14ac:dyDescent="0.3">
      <c r="A783" s="90"/>
      <c r="C783" s="101"/>
      <c r="D783" s="101"/>
      <c r="E783" s="101"/>
      <c r="F783" s="101"/>
    </row>
    <row r="784" spans="1:6" ht="15.6" x14ac:dyDescent="0.3">
      <c r="A784" s="90"/>
      <c r="D784" s="91"/>
    </row>
    <row r="785" spans="1:6" ht="24" customHeight="1" x14ac:dyDescent="0.3">
      <c r="A785" s="90"/>
      <c r="C785" s="98" t="s">
        <v>672</v>
      </c>
      <c r="D785" s="99">
        <f>_o66</f>
        <v>0</v>
      </c>
      <c r="E785" s="100"/>
      <c r="F785" s="100"/>
    </row>
    <row r="786" spans="1:6" x14ac:dyDescent="0.3">
      <c r="A786" s="90"/>
    </row>
    <row r="787" spans="1:6" x14ac:dyDescent="0.3">
      <c r="A787" s="90"/>
      <c r="C787" s="101"/>
      <c r="D787" s="101" t="str">
        <f ca="1">' '!$A$364</f>
        <v>Beschreibung/Bemerkungen</v>
      </c>
      <c r="E787" s="101"/>
      <c r="F787" s="101"/>
    </row>
    <row r="788" spans="1:6" x14ac:dyDescent="0.3">
      <c r="A788" s="90"/>
      <c r="C788" s="1121"/>
      <c r="D788" s="1121"/>
      <c r="E788" s="1121"/>
      <c r="F788" s="1121"/>
    </row>
    <row r="789" spans="1:6" x14ac:dyDescent="0.3">
      <c r="A789" s="90"/>
      <c r="C789" s="101"/>
      <c r="D789" s="101" t="str">
        <f ca="1">' '!$A$363</f>
        <v>Berechnung</v>
      </c>
      <c r="E789" s="101"/>
      <c r="F789" s="101"/>
    </row>
    <row r="790" spans="1:6" x14ac:dyDescent="0.3">
      <c r="A790" s="90"/>
      <c r="C790" s="1121"/>
      <c r="D790" s="1121"/>
      <c r="E790" s="1121" t="s">
        <v>695</v>
      </c>
      <c r="F790" s="1121"/>
    </row>
    <row r="791" spans="1:6" x14ac:dyDescent="0.3">
      <c r="A791" s="90"/>
      <c r="C791" s="101"/>
      <c r="D791" s="102" t="str">
        <f ca="1">' '!$A$365</f>
        <v>Quelle</v>
      </c>
      <c r="E791" s="101" t="str">
        <f ca="1">' '!$A$366</f>
        <v>Erhebungszeitpunkt &amp; Branchenvergleich</v>
      </c>
      <c r="F791" s="101"/>
    </row>
    <row r="792" spans="1:6" x14ac:dyDescent="0.3">
      <c r="A792" s="90"/>
      <c r="C792" s="1122"/>
      <c r="D792" s="1123"/>
      <c r="E792" s="1122"/>
      <c r="F792" s="1123"/>
    </row>
    <row r="793" spans="1:6" x14ac:dyDescent="0.3">
      <c r="A793" s="90"/>
      <c r="C793" s="1122"/>
      <c r="D793" s="1123"/>
      <c r="E793" s="1122"/>
      <c r="F793" s="1123"/>
    </row>
    <row r="794" spans="1:6" x14ac:dyDescent="0.3">
      <c r="A794" s="90"/>
      <c r="C794" s="1122"/>
      <c r="D794" s="1123"/>
      <c r="E794" s="1122"/>
      <c r="F794" s="1123"/>
    </row>
    <row r="795" spans="1:6" x14ac:dyDescent="0.3">
      <c r="A795" s="90"/>
      <c r="C795" s="101"/>
      <c r="D795" s="101"/>
      <c r="E795" s="101"/>
      <c r="F795" s="101"/>
    </row>
    <row r="796" spans="1:6" ht="15.6" x14ac:dyDescent="0.3">
      <c r="A796" s="90"/>
      <c r="D796" s="91"/>
    </row>
    <row r="797" spans="1:6" ht="24" customHeight="1" x14ac:dyDescent="0.3">
      <c r="A797" s="90"/>
      <c r="C797" s="98" t="s">
        <v>674</v>
      </c>
      <c r="D797" s="99">
        <f>_o67</f>
        <v>0</v>
      </c>
      <c r="E797" s="100"/>
      <c r="F797" s="100"/>
    </row>
    <row r="798" spans="1:6" x14ac:dyDescent="0.3">
      <c r="A798" s="90"/>
    </row>
    <row r="799" spans="1:6" x14ac:dyDescent="0.3">
      <c r="A799" s="90"/>
      <c r="C799" s="101"/>
      <c r="D799" s="101" t="str">
        <f ca="1">' '!$A$364</f>
        <v>Beschreibung/Bemerkungen</v>
      </c>
      <c r="E799" s="101"/>
      <c r="F799" s="101"/>
    </row>
    <row r="800" spans="1:6" x14ac:dyDescent="0.3">
      <c r="A800" s="90"/>
      <c r="C800" s="1121"/>
      <c r="D800" s="1121"/>
      <c r="E800" s="1121"/>
      <c r="F800" s="1121"/>
    </row>
    <row r="801" spans="1:6" x14ac:dyDescent="0.3">
      <c r="A801" s="90"/>
      <c r="C801" s="101"/>
      <c r="D801" s="101" t="str">
        <f ca="1">' '!$A$363</f>
        <v>Berechnung</v>
      </c>
      <c r="E801" s="101"/>
      <c r="F801" s="101"/>
    </row>
    <row r="802" spans="1:6" x14ac:dyDescent="0.3">
      <c r="A802" s="90"/>
      <c r="C802" s="1121"/>
      <c r="D802" s="1121"/>
      <c r="E802" s="1121" t="s">
        <v>695</v>
      </c>
      <c r="F802" s="1121"/>
    </row>
    <row r="803" spans="1:6" x14ac:dyDescent="0.3">
      <c r="A803" s="90"/>
      <c r="C803" s="101"/>
      <c r="D803" s="102" t="str">
        <f ca="1">' '!$A$365</f>
        <v>Quelle</v>
      </c>
      <c r="E803" s="101" t="str">
        <f ca="1">' '!$A$366</f>
        <v>Erhebungszeitpunkt &amp; Branchenvergleich</v>
      </c>
      <c r="F803" s="101"/>
    </row>
    <row r="804" spans="1:6" x14ac:dyDescent="0.3">
      <c r="A804" s="90"/>
      <c r="C804" s="1122"/>
      <c r="D804" s="1123"/>
      <c r="E804" s="1122"/>
      <c r="F804" s="1123"/>
    </row>
    <row r="805" spans="1:6" x14ac:dyDescent="0.3">
      <c r="A805" s="90"/>
      <c r="C805" s="1122"/>
      <c r="D805" s="1123"/>
      <c r="E805" s="1122"/>
      <c r="F805" s="1123"/>
    </row>
    <row r="806" spans="1:6" x14ac:dyDescent="0.3">
      <c r="A806" s="90"/>
      <c r="C806" s="1122"/>
      <c r="D806" s="1123"/>
      <c r="E806" s="1122"/>
      <c r="F806" s="1123"/>
    </row>
    <row r="807" spans="1:6" x14ac:dyDescent="0.3">
      <c r="A807" s="90"/>
      <c r="C807" s="101"/>
      <c r="D807" s="101"/>
      <c r="E807" s="101"/>
      <c r="F807" s="101"/>
    </row>
    <row r="808" spans="1:6" ht="15.6" x14ac:dyDescent="0.3">
      <c r="A808" s="90"/>
      <c r="D808" s="91"/>
    </row>
    <row r="809" spans="1:6" ht="24" customHeight="1" x14ac:dyDescent="0.3">
      <c r="A809" s="90"/>
      <c r="C809" s="98" t="s">
        <v>675</v>
      </c>
      <c r="D809" s="99">
        <f>_o68</f>
        <v>0</v>
      </c>
      <c r="E809" s="100"/>
      <c r="F809" s="100"/>
    </row>
    <row r="810" spans="1:6" x14ac:dyDescent="0.3">
      <c r="A810" s="90"/>
    </row>
    <row r="811" spans="1:6" x14ac:dyDescent="0.3">
      <c r="A811" s="90"/>
      <c r="C811" s="101"/>
      <c r="D811" s="101" t="str">
        <f ca="1">' '!$A$364</f>
        <v>Beschreibung/Bemerkungen</v>
      </c>
      <c r="E811" s="101"/>
      <c r="F811" s="101"/>
    </row>
    <row r="812" spans="1:6" x14ac:dyDescent="0.3">
      <c r="A812" s="90"/>
      <c r="C812" s="1121"/>
      <c r="D812" s="1121"/>
      <c r="E812" s="1121"/>
      <c r="F812" s="1121"/>
    </row>
    <row r="813" spans="1:6" x14ac:dyDescent="0.3">
      <c r="A813" s="90"/>
      <c r="C813" s="101"/>
      <c r="D813" s="101" t="str">
        <f ca="1">' '!$A$363</f>
        <v>Berechnung</v>
      </c>
      <c r="E813" s="101"/>
      <c r="F813" s="101"/>
    </row>
    <row r="814" spans="1:6" x14ac:dyDescent="0.3">
      <c r="A814" s="90"/>
      <c r="C814" s="1121"/>
      <c r="D814" s="1121"/>
      <c r="E814" s="1121" t="s">
        <v>695</v>
      </c>
      <c r="F814" s="1121"/>
    </row>
    <row r="815" spans="1:6" x14ac:dyDescent="0.3">
      <c r="A815" s="90"/>
      <c r="C815" s="101"/>
      <c r="D815" s="102" t="str">
        <f ca="1">' '!$A$365</f>
        <v>Quelle</v>
      </c>
      <c r="E815" s="101" t="str">
        <f ca="1">' '!$A$366</f>
        <v>Erhebungszeitpunkt &amp; Branchenvergleich</v>
      </c>
      <c r="F815" s="101"/>
    </row>
    <row r="816" spans="1:6" x14ac:dyDescent="0.3">
      <c r="A816" s="90"/>
      <c r="C816" s="1122"/>
      <c r="D816" s="1123"/>
      <c r="E816" s="1122"/>
      <c r="F816" s="1123"/>
    </row>
    <row r="817" spans="1:6" x14ac:dyDescent="0.3">
      <c r="A817" s="90"/>
      <c r="C817" s="1122"/>
      <c r="D817" s="1123"/>
      <c r="E817" s="1122"/>
      <c r="F817" s="1123"/>
    </row>
    <row r="818" spans="1:6" x14ac:dyDescent="0.3">
      <c r="A818" s="90"/>
      <c r="C818" s="1122"/>
      <c r="D818" s="1123"/>
      <c r="E818" s="1122"/>
      <c r="F818" s="1123"/>
    </row>
    <row r="819" spans="1:6" x14ac:dyDescent="0.3">
      <c r="A819" s="90"/>
      <c r="C819" s="101"/>
      <c r="D819" s="101"/>
      <c r="E819" s="101"/>
      <c r="F819" s="101"/>
    </row>
    <row r="820" spans="1:6" ht="15.6" x14ac:dyDescent="0.3">
      <c r="A820" s="90"/>
      <c r="D820" s="91"/>
    </row>
    <row r="821" spans="1:6" ht="24" customHeight="1" x14ac:dyDescent="0.3">
      <c r="A821" s="90"/>
      <c r="C821" s="98" t="s">
        <v>677</v>
      </c>
      <c r="D821" s="99">
        <f>_o69</f>
        <v>0</v>
      </c>
      <c r="E821" s="100"/>
      <c r="F821" s="100"/>
    </row>
    <row r="822" spans="1:6" x14ac:dyDescent="0.3">
      <c r="A822" s="90"/>
    </row>
    <row r="823" spans="1:6" x14ac:dyDescent="0.3">
      <c r="A823" s="90"/>
      <c r="C823" s="101"/>
      <c r="D823" s="101" t="str">
        <f ca="1">' '!$A$364</f>
        <v>Beschreibung/Bemerkungen</v>
      </c>
      <c r="E823" s="101"/>
      <c r="F823" s="101"/>
    </row>
    <row r="824" spans="1:6" x14ac:dyDescent="0.3">
      <c r="A824" s="90"/>
      <c r="C824" s="1121"/>
      <c r="D824" s="1121"/>
      <c r="E824" s="1121"/>
      <c r="F824" s="1121"/>
    </row>
    <row r="825" spans="1:6" x14ac:dyDescent="0.3">
      <c r="A825" s="90"/>
      <c r="C825" s="101"/>
      <c r="D825" s="101" t="str">
        <f ca="1">' '!$A$363</f>
        <v>Berechnung</v>
      </c>
      <c r="E825" s="101"/>
      <c r="F825" s="101"/>
    </row>
    <row r="826" spans="1:6" x14ac:dyDescent="0.3">
      <c r="A826" s="90"/>
      <c r="C826" s="1121"/>
      <c r="D826" s="1121"/>
      <c r="E826" s="1121" t="s">
        <v>695</v>
      </c>
      <c r="F826" s="1121"/>
    </row>
    <row r="827" spans="1:6" x14ac:dyDescent="0.3">
      <c r="A827" s="90"/>
      <c r="C827" s="101"/>
      <c r="D827" s="102" t="str">
        <f ca="1">' '!$A$365</f>
        <v>Quelle</v>
      </c>
      <c r="E827" s="101" t="str">
        <f ca="1">' '!$A$366</f>
        <v>Erhebungszeitpunkt &amp; Branchenvergleich</v>
      </c>
      <c r="F827" s="101"/>
    </row>
    <row r="828" spans="1:6" x14ac:dyDescent="0.3">
      <c r="A828" s="90"/>
      <c r="C828" s="1122"/>
      <c r="D828" s="1123"/>
      <c r="E828" s="1122"/>
      <c r="F828" s="1123"/>
    </row>
    <row r="829" spans="1:6" x14ac:dyDescent="0.3">
      <c r="A829" s="90"/>
      <c r="C829" s="1122"/>
      <c r="D829" s="1123"/>
      <c r="E829" s="1122"/>
      <c r="F829" s="1123"/>
    </row>
    <row r="830" spans="1:6" x14ac:dyDescent="0.3">
      <c r="A830" s="90"/>
      <c r="C830" s="1122"/>
      <c r="D830" s="1123"/>
      <c r="E830" s="1122"/>
      <c r="F830" s="1123"/>
    </row>
    <row r="831" spans="1:6" x14ac:dyDescent="0.3">
      <c r="A831" s="90"/>
      <c r="C831" s="101"/>
      <c r="D831" s="101"/>
      <c r="E831" s="101"/>
      <c r="F831" s="101"/>
    </row>
    <row r="832" spans="1:6" ht="15.6" x14ac:dyDescent="0.3">
      <c r="A832" s="90"/>
      <c r="D832" s="91"/>
    </row>
    <row r="833" spans="1:6" ht="24" customHeight="1" x14ac:dyDescent="0.3">
      <c r="A833" s="90"/>
      <c r="C833" s="98" t="s">
        <v>678</v>
      </c>
      <c r="D833" s="99">
        <f>_o70</f>
        <v>0</v>
      </c>
      <c r="E833" s="100"/>
      <c r="F833" s="100"/>
    </row>
    <row r="834" spans="1:6" x14ac:dyDescent="0.3">
      <c r="A834" s="90"/>
    </row>
    <row r="835" spans="1:6" x14ac:dyDescent="0.3">
      <c r="A835" s="90"/>
      <c r="C835" s="101"/>
      <c r="D835" s="101" t="str">
        <f ca="1">' '!$A$364</f>
        <v>Beschreibung/Bemerkungen</v>
      </c>
      <c r="E835" s="101"/>
      <c r="F835" s="101"/>
    </row>
    <row r="836" spans="1:6" x14ac:dyDescent="0.3">
      <c r="A836" s="90"/>
      <c r="C836" s="1121"/>
      <c r="D836" s="1121"/>
      <c r="E836" s="1121"/>
      <c r="F836" s="1121"/>
    </row>
    <row r="837" spans="1:6" x14ac:dyDescent="0.3">
      <c r="A837" s="90"/>
      <c r="C837" s="101"/>
      <c r="D837" s="101" t="str">
        <f ca="1">' '!$A$363</f>
        <v>Berechnung</v>
      </c>
      <c r="E837" s="101"/>
      <c r="F837" s="101"/>
    </row>
    <row r="838" spans="1:6" x14ac:dyDescent="0.3">
      <c r="A838" s="90"/>
      <c r="C838" s="1121"/>
      <c r="D838" s="1121"/>
      <c r="E838" s="1121" t="s">
        <v>695</v>
      </c>
      <c r="F838" s="1121"/>
    </row>
    <row r="839" spans="1:6" x14ac:dyDescent="0.3">
      <c r="A839" s="90"/>
      <c r="C839" s="101"/>
      <c r="D839" s="102" t="str">
        <f ca="1">' '!$A$365</f>
        <v>Quelle</v>
      </c>
      <c r="E839" s="101" t="str">
        <f ca="1">' '!$A$366</f>
        <v>Erhebungszeitpunkt &amp; Branchenvergleich</v>
      </c>
      <c r="F839" s="101"/>
    </row>
    <row r="840" spans="1:6" x14ac:dyDescent="0.3">
      <c r="A840" s="90"/>
      <c r="C840" s="1122"/>
      <c r="D840" s="1123"/>
      <c r="E840" s="1122"/>
      <c r="F840" s="1123"/>
    </row>
    <row r="841" spans="1:6" x14ac:dyDescent="0.3">
      <c r="A841" s="90"/>
      <c r="C841" s="1122"/>
      <c r="D841" s="1123"/>
      <c r="E841" s="1122"/>
      <c r="F841" s="1123"/>
    </row>
    <row r="842" spans="1:6" x14ac:dyDescent="0.3">
      <c r="A842" s="90"/>
      <c r="C842" s="1122"/>
      <c r="D842" s="1123"/>
      <c r="E842" s="1122"/>
      <c r="F842" s="1123"/>
    </row>
    <row r="843" spans="1:6" x14ac:dyDescent="0.3">
      <c r="A843" s="90"/>
      <c r="C843" s="101"/>
      <c r="D843" s="101"/>
      <c r="E843" s="101"/>
      <c r="F843" s="101"/>
    </row>
    <row r="844" spans="1:6" ht="15.6" x14ac:dyDescent="0.3">
      <c r="A844" s="90"/>
      <c r="D844" s="91"/>
    </row>
    <row r="845" spans="1:6" ht="24" customHeight="1" x14ac:dyDescent="0.3">
      <c r="A845" s="90"/>
      <c r="C845" s="98" t="s">
        <v>680</v>
      </c>
      <c r="D845" s="99">
        <f>_o71</f>
        <v>0</v>
      </c>
      <c r="E845" s="100"/>
      <c r="F845" s="100"/>
    </row>
    <row r="846" spans="1:6" x14ac:dyDescent="0.3">
      <c r="A846" s="90"/>
    </row>
    <row r="847" spans="1:6" x14ac:dyDescent="0.3">
      <c r="A847" s="90"/>
      <c r="C847" s="101"/>
      <c r="D847" s="101" t="str">
        <f ca="1">' '!$A$364</f>
        <v>Beschreibung/Bemerkungen</v>
      </c>
      <c r="E847" s="101"/>
      <c r="F847" s="101"/>
    </row>
    <row r="848" spans="1:6" x14ac:dyDescent="0.3">
      <c r="A848" s="90"/>
      <c r="C848" s="1121"/>
      <c r="D848" s="1121"/>
      <c r="E848" s="1121"/>
      <c r="F848" s="1121"/>
    </row>
    <row r="849" spans="1:6" x14ac:dyDescent="0.3">
      <c r="A849" s="90"/>
      <c r="C849" s="101"/>
      <c r="D849" s="101" t="str">
        <f ca="1">' '!$A$363</f>
        <v>Berechnung</v>
      </c>
      <c r="E849" s="101"/>
      <c r="F849" s="101"/>
    </row>
    <row r="850" spans="1:6" x14ac:dyDescent="0.3">
      <c r="A850" s="90"/>
      <c r="C850" s="1121"/>
      <c r="D850" s="1121"/>
      <c r="E850" s="1121" t="s">
        <v>695</v>
      </c>
      <c r="F850" s="1121"/>
    </row>
    <row r="851" spans="1:6" x14ac:dyDescent="0.3">
      <c r="A851" s="90"/>
      <c r="C851" s="101"/>
      <c r="D851" s="102" t="str">
        <f ca="1">' '!$A$365</f>
        <v>Quelle</v>
      </c>
      <c r="E851" s="101" t="str">
        <f ca="1">' '!$A$366</f>
        <v>Erhebungszeitpunkt &amp; Branchenvergleich</v>
      </c>
      <c r="F851" s="101"/>
    </row>
    <row r="852" spans="1:6" x14ac:dyDescent="0.3">
      <c r="A852" s="90"/>
      <c r="C852" s="1122"/>
      <c r="D852" s="1123"/>
      <c r="E852" s="1122"/>
      <c r="F852" s="1123"/>
    </row>
    <row r="853" spans="1:6" x14ac:dyDescent="0.3">
      <c r="A853" s="90"/>
      <c r="C853" s="1122"/>
      <c r="D853" s="1123"/>
      <c r="E853" s="1122"/>
      <c r="F853" s="1123"/>
    </row>
    <row r="854" spans="1:6" x14ac:dyDescent="0.3">
      <c r="A854" s="90"/>
      <c r="C854" s="1122"/>
      <c r="D854" s="1123"/>
      <c r="E854" s="1122"/>
      <c r="F854" s="1123"/>
    </row>
    <row r="855" spans="1:6" x14ac:dyDescent="0.3">
      <c r="A855" s="90"/>
      <c r="C855" s="101"/>
      <c r="D855" s="101"/>
      <c r="E855" s="101"/>
      <c r="F855" s="101"/>
    </row>
    <row r="856" spans="1:6" ht="15.6" x14ac:dyDescent="0.3">
      <c r="A856" s="90"/>
      <c r="D856" s="91"/>
    </row>
    <row r="857" spans="1:6" ht="24" customHeight="1" x14ac:dyDescent="0.3">
      <c r="A857" s="90"/>
      <c r="C857" s="98" t="s">
        <v>681</v>
      </c>
      <c r="D857" s="99">
        <f>_o72</f>
        <v>0</v>
      </c>
      <c r="E857" s="100"/>
      <c r="F857" s="100"/>
    </row>
    <row r="858" spans="1:6" x14ac:dyDescent="0.3">
      <c r="A858" s="90"/>
    </row>
    <row r="859" spans="1:6" x14ac:dyDescent="0.3">
      <c r="A859" s="90"/>
      <c r="C859" s="101"/>
      <c r="D859" s="101" t="str">
        <f ca="1">' '!$A$364</f>
        <v>Beschreibung/Bemerkungen</v>
      </c>
      <c r="E859" s="101"/>
      <c r="F859" s="101"/>
    </row>
    <row r="860" spans="1:6" x14ac:dyDescent="0.3">
      <c r="A860" s="90"/>
      <c r="C860" s="1121"/>
      <c r="D860" s="1121"/>
      <c r="E860" s="1121"/>
      <c r="F860" s="1121"/>
    </row>
    <row r="861" spans="1:6" x14ac:dyDescent="0.3">
      <c r="A861" s="90"/>
      <c r="C861" s="101"/>
      <c r="D861" s="101" t="str">
        <f ca="1">' '!$A$363</f>
        <v>Berechnung</v>
      </c>
      <c r="E861" s="101"/>
      <c r="F861" s="101"/>
    </row>
    <row r="862" spans="1:6" x14ac:dyDescent="0.3">
      <c r="A862" s="90"/>
      <c r="C862" s="1121"/>
      <c r="D862" s="1121"/>
      <c r="E862" s="1121" t="s">
        <v>695</v>
      </c>
      <c r="F862" s="1121"/>
    </row>
    <row r="863" spans="1:6" x14ac:dyDescent="0.3">
      <c r="A863" s="90"/>
      <c r="C863" s="101"/>
      <c r="D863" s="102" t="str">
        <f ca="1">' '!$A$365</f>
        <v>Quelle</v>
      </c>
      <c r="E863" s="101" t="str">
        <f ca="1">' '!$A$366</f>
        <v>Erhebungszeitpunkt &amp; Branchenvergleich</v>
      </c>
      <c r="F863" s="101"/>
    </row>
    <row r="864" spans="1:6" x14ac:dyDescent="0.3">
      <c r="A864" s="90"/>
      <c r="C864" s="1122"/>
      <c r="D864" s="1123"/>
      <c r="E864" s="1122"/>
      <c r="F864" s="1123"/>
    </row>
    <row r="865" spans="1:6" x14ac:dyDescent="0.3">
      <c r="A865" s="90"/>
      <c r="C865" s="1122"/>
      <c r="D865" s="1123"/>
      <c r="E865" s="1122"/>
      <c r="F865" s="1123"/>
    </row>
    <row r="866" spans="1:6" x14ac:dyDescent="0.3">
      <c r="A866" s="90"/>
      <c r="C866" s="1122"/>
      <c r="D866" s="1123"/>
      <c r="E866" s="1122"/>
      <c r="F866" s="1123"/>
    </row>
    <row r="867" spans="1:6" x14ac:dyDescent="0.3">
      <c r="A867" s="90"/>
      <c r="C867" s="101"/>
      <c r="D867" s="101"/>
      <c r="E867" s="101"/>
      <c r="F867" s="101"/>
    </row>
    <row r="868" spans="1:6" ht="15.6" x14ac:dyDescent="0.3">
      <c r="A868" s="90"/>
      <c r="D868" s="91"/>
    </row>
    <row r="869" spans="1:6" ht="24" customHeight="1" x14ac:dyDescent="0.3">
      <c r="A869" s="90"/>
      <c r="C869" s="98" t="s">
        <v>683</v>
      </c>
      <c r="D869" s="99">
        <f>_o73</f>
        <v>0</v>
      </c>
      <c r="E869" s="100"/>
      <c r="F869" s="100"/>
    </row>
    <row r="870" spans="1:6" x14ac:dyDescent="0.3">
      <c r="A870" s="90"/>
    </row>
    <row r="871" spans="1:6" x14ac:dyDescent="0.3">
      <c r="A871" s="90"/>
      <c r="C871" s="101"/>
      <c r="D871" s="101" t="str">
        <f ca="1">' '!$A$364</f>
        <v>Beschreibung/Bemerkungen</v>
      </c>
      <c r="E871" s="101"/>
      <c r="F871" s="101"/>
    </row>
    <row r="872" spans="1:6" x14ac:dyDescent="0.3">
      <c r="A872" s="90"/>
      <c r="C872" s="1121"/>
      <c r="D872" s="1121"/>
      <c r="E872" s="1121"/>
      <c r="F872" s="1121"/>
    </row>
    <row r="873" spans="1:6" x14ac:dyDescent="0.3">
      <c r="A873" s="90"/>
      <c r="C873" s="101"/>
      <c r="D873" s="101" t="str">
        <f ca="1">' '!$A$363</f>
        <v>Berechnung</v>
      </c>
      <c r="E873" s="101"/>
      <c r="F873" s="101"/>
    </row>
    <row r="874" spans="1:6" x14ac:dyDescent="0.3">
      <c r="A874" s="90"/>
      <c r="C874" s="1121"/>
      <c r="D874" s="1121"/>
      <c r="E874" s="1121" t="s">
        <v>695</v>
      </c>
      <c r="F874" s="1121"/>
    </row>
    <row r="875" spans="1:6" x14ac:dyDescent="0.3">
      <c r="A875" s="90"/>
      <c r="C875" s="101"/>
      <c r="D875" s="102" t="str">
        <f ca="1">' '!$A$365</f>
        <v>Quelle</v>
      </c>
      <c r="E875" s="101" t="str">
        <f ca="1">' '!$A$366</f>
        <v>Erhebungszeitpunkt &amp; Branchenvergleich</v>
      </c>
      <c r="F875" s="101"/>
    </row>
    <row r="876" spans="1:6" x14ac:dyDescent="0.3">
      <c r="A876" s="90"/>
      <c r="C876" s="1122"/>
      <c r="D876" s="1123"/>
      <c r="E876" s="1122"/>
      <c r="F876" s="1123"/>
    </row>
    <row r="877" spans="1:6" x14ac:dyDescent="0.3">
      <c r="A877" s="90"/>
      <c r="C877" s="1122"/>
      <c r="D877" s="1123"/>
      <c r="E877" s="1122"/>
      <c r="F877" s="1123"/>
    </row>
    <row r="878" spans="1:6" x14ac:dyDescent="0.3">
      <c r="A878" s="90"/>
      <c r="C878" s="1122"/>
      <c r="D878" s="1123"/>
      <c r="E878" s="1122"/>
      <c r="F878" s="1123"/>
    </row>
    <row r="879" spans="1:6" x14ac:dyDescent="0.3">
      <c r="A879" s="90"/>
      <c r="C879" s="101"/>
      <c r="D879" s="101"/>
      <c r="E879" s="101"/>
      <c r="F879" s="101"/>
    </row>
    <row r="880" spans="1:6" ht="15.6" x14ac:dyDescent="0.3">
      <c r="A880" s="90"/>
      <c r="D880" s="91"/>
    </row>
    <row r="881" spans="1:6" ht="24" customHeight="1" x14ac:dyDescent="0.3">
      <c r="A881" s="90"/>
      <c r="C881" s="98" t="s">
        <v>684</v>
      </c>
      <c r="D881" s="99">
        <f>_o74</f>
        <v>0</v>
      </c>
      <c r="E881" s="100"/>
      <c r="F881" s="100"/>
    </row>
    <row r="882" spans="1:6" x14ac:dyDescent="0.3">
      <c r="A882" s="90"/>
    </row>
    <row r="883" spans="1:6" x14ac:dyDescent="0.3">
      <c r="A883" s="90"/>
      <c r="C883" s="101"/>
      <c r="D883" s="101" t="str">
        <f ca="1">' '!$A$364</f>
        <v>Beschreibung/Bemerkungen</v>
      </c>
      <c r="E883" s="101"/>
      <c r="F883" s="101"/>
    </row>
    <row r="884" spans="1:6" x14ac:dyDescent="0.3">
      <c r="A884" s="90"/>
      <c r="C884" s="1121"/>
      <c r="D884" s="1121"/>
      <c r="E884" s="1121"/>
      <c r="F884" s="1121"/>
    </row>
    <row r="885" spans="1:6" x14ac:dyDescent="0.3">
      <c r="A885" s="90"/>
      <c r="C885" s="101"/>
      <c r="D885" s="101" t="str">
        <f ca="1">' '!$A$363</f>
        <v>Berechnung</v>
      </c>
      <c r="E885" s="101"/>
      <c r="F885" s="101"/>
    </row>
    <row r="886" spans="1:6" x14ac:dyDescent="0.3">
      <c r="A886" s="90"/>
      <c r="C886" s="1121"/>
      <c r="D886" s="1121"/>
      <c r="E886" s="1121" t="s">
        <v>695</v>
      </c>
      <c r="F886" s="1121"/>
    </row>
    <row r="887" spans="1:6" x14ac:dyDescent="0.3">
      <c r="A887" s="90"/>
      <c r="C887" s="101"/>
      <c r="D887" s="102" t="str">
        <f ca="1">' '!$A$365</f>
        <v>Quelle</v>
      </c>
      <c r="E887" s="101" t="str">
        <f ca="1">' '!$A$366</f>
        <v>Erhebungszeitpunkt &amp; Branchenvergleich</v>
      </c>
      <c r="F887" s="101"/>
    </row>
    <row r="888" spans="1:6" x14ac:dyDescent="0.3">
      <c r="A888" s="90"/>
      <c r="C888" s="1122"/>
      <c r="D888" s="1123"/>
      <c r="E888" s="1122"/>
      <c r="F888" s="1123"/>
    </row>
    <row r="889" spans="1:6" x14ac:dyDescent="0.3">
      <c r="A889" s="90"/>
      <c r="C889" s="1122"/>
      <c r="D889" s="1123"/>
      <c r="E889" s="1122"/>
      <c r="F889" s="1123"/>
    </row>
    <row r="890" spans="1:6" x14ac:dyDescent="0.3">
      <c r="A890" s="90"/>
      <c r="C890" s="1122"/>
      <c r="D890" s="1123"/>
      <c r="E890" s="1122"/>
      <c r="F890" s="1123"/>
    </row>
    <row r="891" spans="1:6" x14ac:dyDescent="0.3">
      <c r="A891" s="90"/>
      <c r="C891" s="101"/>
      <c r="D891" s="101"/>
      <c r="E891" s="101"/>
      <c r="F891" s="101"/>
    </row>
    <row r="892" spans="1:6" ht="15.6" x14ac:dyDescent="0.3">
      <c r="A892" s="90"/>
      <c r="D892" s="91"/>
    </row>
    <row r="893" spans="1:6" ht="24" customHeight="1" x14ac:dyDescent="0.3">
      <c r="A893" s="90"/>
      <c r="C893" s="98" t="s">
        <v>686</v>
      </c>
      <c r="D893" s="99">
        <f>_o75</f>
        <v>0</v>
      </c>
      <c r="E893" s="100"/>
      <c r="F893" s="100"/>
    </row>
    <row r="894" spans="1:6" x14ac:dyDescent="0.3">
      <c r="A894" s="90"/>
    </row>
    <row r="895" spans="1:6" x14ac:dyDescent="0.3">
      <c r="A895" s="90"/>
      <c r="C895" s="101"/>
      <c r="D895" s="101" t="str">
        <f ca="1">' '!$A$364</f>
        <v>Beschreibung/Bemerkungen</v>
      </c>
      <c r="E895" s="101"/>
      <c r="F895" s="101"/>
    </row>
    <row r="896" spans="1:6" x14ac:dyDescent="0.3">
      <c r="A896" s="90"/>
      <c r="C896" s="1121"/>
      <c r="D896" s="1121"/>
      <c r="E896" s="1121"/>
      <c r="F896" s="1121"/>
    </row>
    <row r="897" spans="1:6" x14ac:dyDescent="0.3">
      <c r="A897" s="90"/>
      <c r="C897" s="101"/>
      <c r="D897" s="101" t="str">
        <f ca="1">' '!$A$363</f>
        <v>Berechnung</v>
      </c>
      <c r="E897" s="101"/>
      <c r="F897" s="101"/>
    </row>
    <row r="898" spans="1:6" x14ac:dyDescent="0.3">
      <c r="A898" s="90"/>
      <c r="C898" s="1121"/>
      <c r="D898" s="1121"/>
      <c r="E898" s="1121" t="s">
        <v>695</v>
      </c>
      <c r="F898" s="1121"/>
    </row>
    <row r="899" spans="1:6" x14ac:dyDescent="0.3">
      <c r="A899" s="90"/>
      <c r="C899" s="101"/>
      <c r="D899" s="102" t="str">
        <f ca="1">' '!$A$365</f>
        <v>Quelle</v>
      </c>
      <c r="E899" s="101" t="str">
        <f ca="1">' '!$A$366</f>
        <v>Erhebungszeitpunkt &amp; Branchenvergleich</v>
      </c>
      <c r="F899" s="101"/>
    </row>
    <row r="900" spans="1:6" x14ac:dyDescent="0.3">
      <c r="A900" s="90"/>
      <c r="C900" s="1122"/>
      <c r="D900" s="1123"/>
      <c r="E900" s="1122"/>
      <c r="F900" s="1123"/>
    </row>
    <row r="901" spans="1:6" x14ac:dyDescent="0.3">
      <c r="A901" s="90"/>
      <c r="C901" s="1122"/>
      <c r="D901" s="1123"/>
      <c r="E901" s="1122"/>
      <c r="F901" s="1123"/>
    </row>
    <row r="902" spans="1:6" x14ac:dyDescent="0.3">
      <c r="A902" s="90"/>
      <c r="C902" s="1122"/>
      <c r="D902" s="1123"/>
      <c r="E902" s="1122"/>
      <c r="F902" s="1123"/>
    </row>
    <row r="903" spans="1:6" x14ac:dyDescent="0.3">
      <c r="A903" s="90"/>
      <c r="C903" s="101"/>
      <c r="D903" s="101"/>
      <c r="E903" s="101"/>
      <c r="F903" s="101"/>
    </row>
    <row r="904" spans="1:6" ht="15.6" x14ac:dyDescent="0.3">
      <c r="A904" s="90"/>
      <c r="D904" s="91"/>
    </row>
    <row r="905" spans="1:6" ht="24" customHeight="1" x14ac:dyDescent="0.3">
      <c r="A905" s="90"/>
      <c r="C905" s="98" t="s">
        <v>687</v>
      </c>
      <c r="D905" s="99">
        <f>_o76</f>
        <v>0</v>
      </c>
      <c r="E905" s="100"/>
      <c r="F905" s="100"/>
    </row>
    <row r="906" spans="1:6" x14ac:dyDescent="0.3">
      <c r="A906" s="90"/>
    </row>
    <row r="907" spans="1:6" x14ac:dyDescent="0.3">
      <c r="A907" s="90"/>
      <c r="C907" s="101"/>
      <c r="D907" s="101" t="str">
        <f ca="1">' '!$A$364</f>
        <v>Beschreibung/Bemerkungen</v>
      </c>
      <c r="E907" s="101"/>
      <c r="F907" s="101"/>
    </row>
    <row r="908" spans="1:6" x14ac:dyDescent="0.3">
      <c r="A908" s="90"/>
      <c r="C908" s="1121"/>
      <c r="D908" s="1121"/>
      <c r="E908" s="1121"/>
      <c r="F908" s="1121"/>
    </row>
    <row r="909" spans="1:6" x14ac:dyDescent="0.3">
      <c r="A909" s="90"/>
      <c r="C909" s="101"/>
      <c r="D909" s="101" t="str">
        <f ca="1">' '!$A$363</f>
        <v>Berechnung</v>
      </c>
      <c r="E909" s="101"/>
      <c r="F909" s="101"/>
    </row>
    <row r="910" spans="1:6" x14ac:dyDescent="0.3">
      <c r="A910" s="90"/>
      <c r="C910" s="1121"/>
      <c r="D910" s="1121"/>
      <c r="E910" s="1121" t="s">
        <v>695</v>
      </c>
      <c r="F910" s="1121"/>
    </row>
    <row r="911" spans="1:6" x14ac:dyDescent="0.3">
      <c r="A911" s="90"/>
      <c r="C911" s="101"/>
      <c r="D911" s="102" t="str">
        <f ca="1">' '!$A$365</f>
        <v>Quelle</v>
      </c>
      <c r="E911" s="101" t="str">
        <f ca="1">' '!$A$366</f>
        <v>Erhebungszeitpunkt &amp; Branchenvergleich</v>
      </c>
      <c r="F911" s="101"/>
    </row>
    <row r="912" spans="1:6" x14ac:dyDescent="0.3">
      <c r="A912" s="90"/>
      <c r="C912" s="1122"/>
      <c r="D912" s="1123"/>
      <c r="E912" s="1122"/>
      <c r="F912" s="1123"/>
    </row>
    <row r="913" spans="1:6" x14ac:dyDescent="0.3">
      <c r="A913" s="90"/>
      <c r="C913" s="1122"/>
      <c r="D913" s="1123"/>
      <c r="E913" s="1122"/>
      <c r="F913" s="1123"/>
    </row>
    <row r="914" spans="1:6" x14ac:dyDescent="0.3">
      <c r="A914" s="90"/>
      <c r="C914" s="1122"/>
      <c r="D914" s="1123"/>
      <c r="E914" s="1122"/>
      <c r="F914" s="1123"/>
    </row>
    <row r="915" spans="1:6" x14ac:dyDescent="0.3">
      <c r="A915" s="90"/>
      <c r="C915" s="101"/>
      <c r="D915" s="101"/>
      <c r="E915" s="101"/>
      <c r="F915" s="101"/>
    </row>
    <row r="916" spans="1:6" ht="15.6" x14ac:dyDescent="0.3">
      <c r="A916" s="90"/>
      <c r="D916" s="91"/>
    </row>
    <row r="917" spans="1:6" ht="24" customHeight="1" x14ac:dyDescent="0.3">
      <c r="A917" s="90"/>
      <c r="C917" s="98" t="s">
        <v>689</v>
      </c>
      <c r="D917" s="99">
        <f>_o77</f>
        <v>0</v>
      </c>
      <c r="E917" s="100"/>
      <c r="F917" s="100"/>
    </row>
    <row r="918" spans="1:6" x14ac:dyDescent="0.3">
      <c r="A918" s="90"/>
    </row>
    <row r="919" spans="1:6" x14ac:dyDescent="0.3">
      <c r="A919" s="90"/>
      <c r="C919" s="101"/>
      <c r="D919" s="101" t="str">
        <f ca="1">' '!$A$364</f>
        <v>Beschreibung/Bemerkungen</v>
      </c>
      <c r="E919" s="101"/>
      <c r="F919" s="101"/>
    </row>
    <row r="920" spans="1:6" x14ac:dyDescent="0.3">
      <c r="A920" s="90"/>
      <c r="C920" s="1121"/>
      <c r="D920" s="1121"/>
      <c r="E920" s="1121"/>
      <c r="F920" s="1121"/>
    </row>
    <row r="921" spans="1:6" x14ac:dyDescent="0.3">
      <c r="A921" s="90"/>
      <c r="C921" s="101"/>
      <c r="D921" s="101" t="str">
        <f ca="1">' '!$A$363</f>
        <v>Berechnung</v>
      </c>
      <c r="E921" s="101"/>
      <c r="F921" s="101"/>
    </row>
    <row r="922" spans="1:6" x14ac:dyDescent="0.3">
      <c r="A922" s="90"/>
      <c r="C922" s="1121"/>
      <c r="D922" s="1121"/>
      <c r="E922" s="1121" t="s">
        <v>695</v>
      </c>
      <c r="F922" s="1121"/>
    </row>
    <row r="923" spans="1:6" x14ac:dyDescent="0.3">
      <c r="A923" s="90"/>
      <c r="C923" s="101"/>
      <c r="D923" s="102" t="str">
        <f ca="1">' '!$A$365</f>
        <v>Quelle</v>
      </c>
      <c r="E923" s="101" t="str">
        <f ca="1">' '!$A$366</f>
        <v>Erhebungszeitpunkt &amp; Branchenvergleich</v>
      </c>
      <c r="F923" s="101"/>
    </row>
    <row r="924" spans="1:6" x14ac:dyDescent="0.3">
      <c r="A924" s="90"/>
      <c r="C924" s="1122"/>
      <c r="D924" s="1123"/>
      <c r="E924" s="1122"/>
      <c r="F924" s="1123"/>
    </row>
    <row r="925" spans="1:6" x14ac:dyDescent="0.3">
      <c r="A925" s="90"/>
      <c r="C925" s="1122"/>
      <c r="D925" s="1123"/>
      <c r="E925" s="1122"/>
      <c r="F925" s="1123"/>
    </row>
    <row r="926" spans="1:6" x14ac:dyDescent="0.3">
      <c r="A926" s="90"/>
      <c r="C926" s="1122"/>
      <c r="D926" s="1123"/>
      <c r="E926" s="1122"/>
      <c r="F926" s="1123"/>
    </row>
    <row r="927" spans="1:6" x14ac:dyDescent="0.3">
      <c r="A927" s="90"/>
      <c r="C927" s="101"/>
      <c r="D927" s="101"/>
      <c r="E927" s="101"/>
      <c r="F927" s="101"/>
    </row>
    <row r="928" spans="1:6" ht="15.6" x14ac:dyDescent="0.3">
      <c r="A928" s="90"/>
      <c r="D928" s="91"/>
    </row>
    <row r="929" spans="1:6" ht="24" customHeight="1" x14ac:dyDescent="0.3">
      <c r="A929" s="90"/>
      <c r="C929" s="98" t="s">
        <v>690</v>
      </c>
      <c r="D929" s="99">
        <f>_o78</f>
        <v>0</v>
      </c>
      <c r="E929" s="100"/>
      <c r="F929" s="100"/>
    </row>
    <row r="930" spans="1:6" x14ac:dyDescent="0.3">
      <c r="A930" s="90"/>
    </row>
    <row r="931" spans="1:6" x14ac:dyDescent="0.3">
      <c r="A931" s="90"/>
      <c r="C931" s="101"/>
      <c r="D931" s="101" t="str">
        <f ca="1">' '!$A$364</f>
        <v>Beschreibung/Bemerkungen</v>
      </c>
      <c r="E931" s="101"/>
      <c r="F931" s="101"/>
    </row>
    <row r="932" spans="1:6" x14ac:dyDescent="0.3">
      <c r="A932" s="90"/>
      <c r="C932" s="1121"/>
      <c r="D932" s="1121"/>
      <c r="E932" s="1121"/>
      <c r="F932" s="1121"/>
    </row>
    <row r="933" spans="1:6" x14ac:dyDescent="0.3">
      <c r="A933" s="90"/>
      <c r="C933" s="101"/>
      <c r="D933" s="101" t="str">
        <f ca="1">' '!$A$363</f>
        <v>Berechnung</v>
      </c>
      <c r="E933" s="101"/>
      <c r="F933" s="101"/>
    </row>
    <row r="934" spans="1:6" x14ac:dyDescent="0.3">
      <c r="A934" s="90"/>
      <c r="C934" s="1121"/>
      <c r="D934" s="1121"/>
      <c r="E934" s="1121" t="s">
        <v>695</v>
      </c>
      <c r="F934" s="1121"/>
    </row>
    <row r="935" spans="1:6" x14ac:dyDescent="0.3">
      <c r="A935" s="90"/>
      <c r="C935" s="101"/>
      <c r="D935" s="102" t="str">
        <f ca="1">' '!$A$365</f>
        <v>Quelle</v>
      </c>
      <c r="E935" s="101" t="str">
        <f ca="1">' '!$A$366</f>
        <v>Erhebungszeitpunkt &amp; Branchenvergleich</v>
      </c>
      <c r="F935" s="101"/>
    </row>
    <row r="936" spans="1:6" x14ac:dyDescent="0.3">
      <c r="A936" s="90"/>
      <c r="C936" s="1122"/>
      <c r="D936" s="1123"/>
      <c r="E936" s="1122"/>
      <c r="F936" s="1123"/>
    </row>
    <row r="937" spans="1:6" x14ac:dyDescent="0.3">
      <c r="A937" s="90"/>
      <c r="C937" s="1122"/>
      <c r="D937" s="1123"/>
      <c r="E937" s="1122"/>
      <c r="F937" s="1123"/>
    </row>
    <row r="938" spans="1:6" x14ac:dyDescent="0.3">
      <c r="A938" s="90"/>
      <c r="C938" s="1122"/>
      <c r="D938" s="1123"/>
      <c r="E938" s="1122"/>
      <c r="F938" s="1123"/>
    </row>
    <row r="939" spans="1:6" x14ac:dyDescent="0.3">
      <c r="A939" s="90"/>
      <c r="C939" s="101"/>
      <c r="D939" s="101"/>
      <c r="E939" s="101"/>
      <c r="F939" s="101"/>
    </row>
    <row r="940" spans="1:6" ht="15.6" x14ac:dyDescent="0.3">
      <c r="A940" s="90"/>
      <c r="D940" s="91"/>
    </row>
    <row r="941" spans="1:6" ht="24" customHeight="1" x14ac:dyDescent="0.3">
      <c r="A941" s="90"/>
      <c r="C941" s="98" t="s">
        <v>692</v>
      </c>
      <c r="D941" s="99">
        <f>_o79</f>
        <v>0</v>
      </c>
      <c r="E941" s="100"/>
      <c r="F941" s="100"/>
    </row>
    <row r="942" spans="1:6" x14ac:dyDescent="0.3">
      <c r="A942" s="90"/>
    </row>
    <row r="943" spans="1:6" x14ac:dyDescent="0.3">
      <c r="A943" s="90"/>
      <c r="C943" s="101"/>
      <c r="D943" s="101" t="str">
        <f ca="1">' '!$A$364</f>
        <v>Beschreibung/Bemerkungen</v>
      </c>
      <c r="E943" s="101"/>
      <c r="F943" s="101"/>
    </row>
    <row r="944" spans="1:6" x14ac:dyDescent="0.3">
      <c r="A944" s="90"/>
      <c r="C944" s="1121"/>
      <c r="D944" s="1121"/>
      <c r="E944" s="1121"/>
      <c r="F944" s="1121"/>
    </row>
    <row r="945" spans="1:6" x14ac:dyDescent="0.3">
      <c r="A945" s="90"/>
      <c r="C945" s="101"/>
      <c r="D945" s="101" t="str">
        <f ca="1">' '!$A$363</f>
        <v>Berechnung</v>
      </c>
      <c r="E945" s="101"/>
      <c r="F945" s="101"/>
    </row>
    <row r="946" spans="1:6" x14ac:dyDescent="0.3">
      <c r="A946" s="90"/>
      <c r="C946" s="1121"/>
      <c r="D946" s="1121"/>
      <c r="E946" s="1121" t="s">
        <v>695</v>
      </c>
      <c r="F946" s="1121"/>
    </row>
    <row r="947" spans="1:6" x14ac:dyDescent="0.3">
      <c r="A947" s="90"/>
      <c r="C947" s="101"/>
      <c r="D947" s="102" t="str">
        <f ca="1">' '!$A$365</f>
        <v>Quelle</v>
      </c>
      <c r="E947" s="101" t="str">
        <f ca="1">' '!$A$366</f>
        <v>Erhebungszeitpunkt &amp; Branchenvergleich</v>
      </c>
      <c r="F947" s="101"/>
    </row>
    <row r="948" spans="1:6" x14ac:dyDescent="0.3">
      <c r="A948" s="90"/>
      <c r="C948" s="1122"/>
      <c r="D948" s="1123"/>
      <c r="E948" s="1122"/>
      <c r="F948" s="1123"/>
    </row>
    <row r="949" spans="1:6" x14ac:dyDescent="0.3">
      <c r="A949" s="90"/>
      <c r="C949" s="1122"/>
      <c r="D949" s="1123"/>
      <c r="E949" s="1122"/>
      <c r="F949" s="1123"/>
    </row>
    <row r="950" spans="1:6" x14ac:dyDescent="0.3">
      <c r="A950" s="90"/>
      <c r="C950" s="1122"/>
      <c r="D950" s="1123"/>
      <c r="E950" s="1122"/>
      <c r="F950" s="1123"/>
    </row>
    <row r="951" spans="1:6" x14ac:dyDescent="0.3">
      <c r="A951" s="90"/>
      <c r="C951" s="101"/>
      <c r="D951" s="101"/>
      <c r="E951" s="101"/>
      <c r="F951" s="101"/>
    </row>
    <row r="952" spans="1:6" ht="15.6" x14ac:dyDescent="0.3">
      <c r="A952" s="90"/>
      <c r="D952" s="91"/>
    </row>
    <row r="953" spans="1:6" ht="24" customHeight="1" x14ac:dyDescent="0.3">
      <c r="A953" s="90"/>
      <c r="C953" s="98" t="s">
        <v>693</v>
      </c>
      <c r="D953" s="99">
        <f>_o80</f>
        <v>0</v>
      </c>
      <c r="E953" s="100"/>
      <c r="F953" s="100"/>
    </row>
    <row r="954" spans="1:6" x14ac:dyDescent="0.3">
      <c r="A954" s="90"/>
    </row>
    <row r="955" spans="1:6" x14ac:dyDescent="0.3">
      <c r="A955" s="90"/>
      <c r="C955" s="101"/>
      <c r="D955" s="101" t="str">
        <f ca="1">' '!$A$364</f>
        <v>Beschreibung/Bemerkungen</v>
      </c>
      <c r="E955" s="101"/>
      <c r="F955" s="101"/>
    </row>
    <row r="956" spans="1:6" x14ac:dyDescent="0.3">
      <c r="A956" s="90"/>
      <c r="C956" s="1121"/>
      <c r="D956" s="1121"/>
      <c r="E956" s="1121"/>
      <c r="F956" s="1121"/>
    </row>
    <row r="957" spans="1:6" x14ac:dyDescent="0.3">
      <c r="A957" s="90"/>
      <c r="C957" s="101"/>
      <c r="D957" s="101" t="str">
        <f ca="1">' '!$A$363</f>
        <v>Berechnung</v>
      </c>
      <c r="E957" s="101"/>
      <c r="F957" s="101"/>
    </row>
    <row r="958" spans="1:6" x14ac:dyDescent="0.3">
      <c r="A958" s="90"/>
      <c r="C958" s="1121"/>
      <c r="D958" s="1121"/>
      <c r="E958" s="1121" t="s">
        <v>695</v>
      </c>
      <c r="F958" s="1121"/>
    </row>
    <row r="959" spans="1:6" x14ac:dyDescent="0.3">
      <c r="A959" s="90"/>
      <c r="C959" s="101"/>
      <c r="D959" s="102" t="str">
        <f ca="1">' '!$A$365</f>
        <v>Quelle</v>
      </c>
      <c r="E959" s="101" t="str">
        <f ca="1">' '!$A$366</f>
        <v>Erhebungszeitpunkt &amp; Branchenvergleich</v>
      </c>
      <c r="F959" s="101"/>
    </row>
    <row r="960" spans="1:6" x14ac:dyDescent="0.3">
      <c r="A960" s="90"/>
      <c r="C960" s="1122"/>
      <c r="D960" s="1123"/>
      <c r="E960" s="1122"/>
      <c r="F960" s="1123"/>
    </row>
    <row r="961" spans="1:6" x14ac:dyDescent="0.3">
      <c r="A961" s="90"/>
      <c r="C961" s="1122"/>
      <c r="D961" s="1123"/>
      <c r="E961" s="1122"/>
      <c r="F961" s="1123"/>
    </row>
    <row r="962" spans="1:6" x14ac:dyDescent="0.3">
      <c r="A962" s="90"/>
      <c r="C962" s="1122"/>
      <c r="D962" s="1123"/>
      <c r="E962" s="1122"/>
      <c r="F962" s="1123"/>
    </row>
    <row r="963" spans="1:6" x14ac:dyDescent="0.3">
      <c r="A963" s="90"/>
      <c r="C963" s="101"/>
      <c r="D963" s="101"/>
      <c r="E963" s="101"/>
      <c r="F963" s="101"/>
    </row>
    <row r="964" spans="1:6" x14ac:dyDescent="0.3">
      <c r="C964" s="74" t="s">
        <v>2103</v>
      </c>
      <c r="D964" s="97"/>
    </row>
  </sheetData>
  <sheetProtection sheet="1" objects="1" scenarios="1" formatCells="0" formatColumns="0" formatRows="0" insertHyperlinks="0" selectLockedCells="1" sort="0" autoFilter="0"/>
  <mergeCells count="320">
    <mergeCell ref="C960:D962"/>
    <mergeCell ref="E960:F962"/>
    <mergeCell ref="C944:F944"/>
    <mergeCell ref="C946:F946"/>
    <mergeCell ref="C948:D950"/>
    <mergeCell ref="E948:F950"/>
    <mergeCell ref="C956:F956"/>
    <mergeCell ref="C958:F958"/>
    <mergeCell ref="C924:D926"/>
    <mergeCell ref="E924:F926"/>
    <mergeCell ref="C932:F932"/>
    <mergeCell ref="C934:F934"/>
    <mergeCell ref="C936:D938"/>
    <mergeCell ref="E936:F938"/>
    <mergeCell ref="C908:F908"/>
    <mergeCell ref="C910:F910"/>
    <mergeCell ref="C912:D914"/>
    <mergeCell ref="E912:F914"/>
    <mergeCell ref="C920:F920"/>
    <mergeCell ref="C922:F922"/>
    <mergeCell ref="C888:D890"/>
    <mergeCell ref="E888:F890"/>
    <mergeCell ref="C896:F896"/>
    <mergeCell ref="C898:F898"/>
    <mergeCell ref="C900:D902"/>
    <mergeCell ref="E900:F902"/>
    <mergeCell ref="C872:F872"/>
    <mergeCell ref="C874:F874"/>
    <mergeCell ref="C876:D878"/>
    <mergeCell ref="E876:F878"/>
    <mergeCell ref="C884:F884"/>
    <mergeCell ref="C886:F886"/>
    <mergeCell ref="C852:D854"/>
    <mergeCell ref="E852:F854"/>
    <mergeCell ref="C860:F860"/>
    <mergeCell ref="C862:F862"/>
    <mergeCell ref="C864:D866"/>
    <mergeCell ref="E864:F866"/>
    <mergeCell ref="C836:F836"/>
    <mergeCell ref="C838:F838"/>
    <mergeCell ref="C840:D842"/>
    <mergeCell ref="E840:F842"/>
    <mergeCell ref="C848:F848"/>
    <mergeCell ref="C850:F850"/>
    <mergeCell ref="C816:D818"/>
    <mergeCell ref="E816:F818"/>
    <mergeCell ref="C824:F824"/>
    <mergeCell ref="C826:F826"/>
    <mergeCell ref="C828:D830"/>
    <mergeCell ref="E828:F830"/>
    <mergeCell ref="C800:F800"/>
    <mergeCell ref="C802:F802"/>
    <mergeCell ref="C804:D806"/>
    <mergeCell ref="E804:F806"/>
    <mergeCell ref="C812:F812"/>
    <mergeCell ref="C814:F814"/>
    <mergeCell ref="C780:D782"/>
    <mergeCell ref="E780:F782"/>
    <mergeCell ref="C788:F788"/>
    <mergeCell ref="C790:F790"/>
    <mergeCell ref="C792:D794"/>
    <mergeCell ref="E792:F794"/>
    <mergeCell ref="C764:F764"/>
    <mergeCell ref="C766:F766"/>
    <mergeCell ref="C768:D770"/>
    <mergeCell ref="E768:F770"/>
    <mergeCell ref="C776:F776"/>
    <mergeCell ref="C778:F778"/>
    <mergeCell ref="C744:D746"/>
    <mergeCell ref="E744:F746"/>
    <mergeCell ref="C752:F752"/>
    <mergeCell ref="C754:F754"/>
    <mergeCell ref="C756:D758"/>
    <mergeCell ref="E756:F758"/>
    <mergeCell ref="C728:F728"/>
    <mergeCell ref="C730:F730"/>
    <mergeCell ref="C732:D734"/>
    <mergeCell ref="E732:F734"/>
    <mergeCell ref="C740:F740"/>
    <mergeCell ref="C742:F742"/>
    <mergeCell ref="C708:D710"/>
    <mergeCell ref="E708:F710"/>
    <mergeCell ref="C716:F716"/>
    <mergeCell ref="C718:F718"/>
    <mergeCell ref="C720:D722"/>
    <mergeCell ref="E720:F722"/>
    <mergeCell ref="C692:F692"/>
    <mergeCell ref="C694:F694"/>
    <mergeCell ref="C696:D698"/>
    <mergeCell ref="E696:F698"/>
    <mergeCell ref="C704:F704"/>
    <mergeCell ref="C706:F706"/>
    <mergeCell ref="C672:D674"/>
    <mergeCell ref="E672:F674"/>
    <mergeCell ref="C680:F680"/>
    <mergeCell ref="C682:F682"/>
    <mergeCell ref="C684:D686"/>
    <mergeCell ref="E684:F686"/>
    <mergeCell ref="C656:F656"/>
    <mergeCell ref="C658:F658"/>
    <mergeCell ref="C660:D662"/>
    <mergeCell ref="E660:F662"/>
    <mergeCell ref="C668:F668"/>
    <mergeCell ref="C670:F670"/>
    <mergeCell ref="C636:D638"/>
    <mergeCell ref="E636:F638"/>
    <mergeCell ref="C644:F644"/>
    <mergeCell ref="C646:F646"/>
    <mergeCell ref="C648:D650"/>
    <mergeCell ref="E648:F650"/>
    <mergeCell ref="C620:F620"/>
    <mergeCell ref="C622:F622"/>
    <mergeCell ref="C624:D626"/>
    <mergeCell ref="E624:F626"/>
    <mergeCell ref="C632:F632"/>
    <mergeCell ref="C634:F634"/>
    <mergeCell ref="C600:D602"/>
    <mergeCell ref="E600:F602"/>
    <mergeCell ref="C608:F608"/>
    <mergeCell ref="C610:F610"/>
    <mergeCell ref="C612:D614"/>
    <mergeCell ref="E612:F614"/>
    <mergeCell ref="C584:F584"/>
    <mergeCell ref="C586:F586"/>
    <mergeCell ref="C588:D590"/>
    <mergeCell ref="E588:F590"/>
    <mergeCell ref="C596:F596"/>
    <mergeCell ref="C598:F598"/>
    <mergeCell ref="C564:D566"/>
    <mergeCell ref="E564:F566"/>
    <mergeCell ref="C572:F572"/>
    <mergeCell ref="C574:F574"/>
    <mergeCell ref="C576:D578"/>
    <mergeCell ref="E576:F578"/>
    <mergeCell ref="C548:F548"/>
    <mergeCell ref="C550:F550"/>
    <mergeCell ref="C552:D554"/>
    <mergeCell ref="E552:F554"/>
    <mergeCell ref="C560:F560"/>
    <mergeCell ref="C562:F562"/>
    <mergeCell ref="C528:D530"/>
    <mergeCell ref="E528:F530"/>
    <mergeCell ref="C536:F536"/>
    <mergeCell ref="C538:F538"/>
    <mergeCell ref="C540:D542"/>
    <mergeCell ref="E540:F542"/>
    <mergeCell ref="C512:F512"/>
    <mergeCell ref="C514:F514"/>
    <mergeCell ref="C516:D518"/>
    <mergeCell ref="E516:F518"/>
    <mergeCell ref="C524:F524"/>
    <mergeCell ref="C526:F526"/>
    <mergeCell ref="C492:D494"/>
    <mergeCell ref="E492:F494"/>
    <mergeCell ref="C500:F500"/>
    <mergeCell ref="C502:F502"/>
    <mergeCell ref="C504:D506"/>
    <mergeCell ref="E504:F506"/>
    <mergeCell ref="C476:F476"/>
    <mergeCell ref="C478:F478"/>
    <mergeCell ref="C480:D482"/>
    <mergeCell ref="E480:F482"/>
    <mergeCell ref="C488:F488"/>
    <mergeCell ref="C490:F490"/>
    <mergeCell ref="C456:D458"/>
    <mergeCell ref="E456:F458"/>
    <mergeCell ref="C464:F464"/>
    <mergeCell ref="C466:F466"/>
    <mergeCell ref="C468:D470"/>
    <mergeCell ref="E468:F470"/>
    <mergeCell ref="C440:F440"/>
    <mergeCell ref="C442:F442"/>
    <mergeCell ref="C444:D446"/>
    <mergeCell ref="E444:F446"/>
    <mergeCell ref="C452:F452"/>
    <mergeCell ref="C454:F454"/>
    <mergeCell ref="C420:D422"/>
    <mergeCell ref="E420:F422"/>
    <mergeCell ref="C428:F428"/>
    <mergeCell ref="C430:F430"/>
    <mergeCell ref="C432:D434"/>
    <mergeCell ref="E432:F434"/>
    <mergeCell ref="C404:F404"/>
    <mergeCell ref="C406:F406"/>
    <mergeCell ref="C408:D410"/>
    <mergeCell ref="E408:F410"/>
    <mergeCell ref="C416:F416"/>
    <mergeCell ref="C418:F418"/>
    <mergeCell ref="C384:D386"/>
    <mergeCell ref="E384:F386"/>
    <mergeCell ref="C392:F392"/>
    <mergeCell ref="C394:F394"/>
    <mergeCell ref="C396:D398"/>
    <mergeCell ref="E396:F398"/>
    <mergeCell ref="C368:F368"/>
    <mergeCell ref="C370:F370"/>
    <mergeCell ref="C372:D374"/>
    <mergeCell ref="E372:F374"/>
    <mergeCell ref="C380:F380"/>
    <mergeCell ref="C382:F382"/>
    <mergeCell ref="C348:D350"/>
    <mergeCell ref="E348:F350"/>
    <mergeCell ref="C356:F356"/>
    <mergeCell ref="C358:F358"/>
    <mergeCell ref="C360:D362"/>
    <mergeCell ref="E360:F362"/>
    <mergeCell ref="C332:F332"/>
    <mergeCell ref="C334:F334"/>
    <mergeCell ref="C336:D338"/>
    <mergeCell ref="E336:F338"/>
    <mergeCell ref="C344:F344"/>
    <mergeCell ref="C346:F346"/>
    <mergeCell ref="C312:D314"/>
    <mergeCell ref="E312:F314"/>
    <mergeCell ref="C320:F320"/>
    <mergeCell ref="C322:F322"/>
    <mergeCell ref="C324:D326"/>
    <mergeCell ref="E324:F326"/>
    <mergeCell ref="C296:F296"/>
    <mergeCell ref="C298:F298"/>
    <mergeCell ref="C300:D302"/>
    <mergeCell ref="E300:F302"/>
    <mergeCell ref="C308:F308"/>
    <mergeCell ref="C310:F310"/>
    <mergeCell ref="C276:D278"/>
    <mergeCell ref="E276:F278"/>
    <mergeCell ref="C284:F284"/>
    <mergeCell ref="C286:F286"/>
    <mergeCell ref="C288:D290"/>
    <mergeCell ref="E288:F290"/>
    <mergeCell ref="C260:F260"/>
    <mergeCell ref="C262:F262"/>
    <mergeCell ref="C264:D266"/>
    <mergeCell ref="E264:F266"/>
    <mergeCell ref="C272:F272"/>
    <mergeCell ref="C274:F274"/>
    <mergeCell ref="C240:D242"/>
    <mergeCell ref="E240:F242"/>
    <mergeCell ref="C248:F248"/>
    <mergeCell ref="C250:F250"/>
    <mergeCell ref="C252:D254"/>
    <mergeCell ref="E252:F254"/>
    <mergeCell ref="C224:F224"/>
    <mergeCell ref="C226:F226"/>
    <mergeCell ref="C228:D230"/>
    <mergeCell ref="E228:F230"/>
    <mergeCell ref="C236:F236"/>
    <mergeCell ref="C238:F238"/>
    <mergeCell ref="C204:D206"/>
    <mergeCell ref="E204:F206"/>
    <mergeCell ref="C212:F212"/>
    <mergeCell ref="C214:F214"/>
    <mergeCell ref="C216:D218"/>
    <mergeCell ref="E216:F218"/>
    <mergeCell ref="C188:F188"/>
    <mergeCell ref="C190:F190"/>
    <mergeCell ref="C192:D194"/>
    <mergeCell ref="E192:F194"/>
    <mergeCell ref="C200:F200"/>
    <mergeCell ref="C202:F202"/>
    <mergeCell ref="C168:D170"/>
    <mergeCell ref="E168:F170"/>
    <mergeCell ref="C176:F176"/>
    <mergeCell ref="C178:F178"/>
    <mergeCell ref="C180:D182"/>
    <mergeCell ref="E180:F182"/>
    <mergeCell ref="C152:F152"/>
    <mergeCell ref="C154:F154"/>
    <mergeCell ref="C156:D158"/>
    <mergeCell ref="E156:F158"/>
    <mergeCell ref="C164:F164"/>
    <mergeCell ref="C166:F166"/>
    <mergeCell ref="C132:D134"/>
    <mergeCell ref="E132:F134"/>
    <mergeCell ref="C140:F140"/>
    <mergeCell ref="C142:F142"/>
    <mergeCell ref="C144:D146"/>
    <mergeCell ref="E144:F146"/>
    <mergeCell ref="C116:F116"/>
    <mergeCell ref="C118:F118"/>
    <mergeCell ref="C120:D122"/>
    <mergeCell ref="E120:F122"/>
    <mergeCell ref="C128:F128"/>
    <mergeCell ref="C130:F130"/>
    <mergeCell ref="C96:D98"/>
    <mergeCell ref="E96:F98"/>
    <mergeCell ref="C104:F104"/>
    <mergeCell ref="C106:F106"/>
    <mergeCell ref="C108:D110"/>
    <mergeCell ref="E108:F110"/>
    <mergeCell ref="C82:F82"/>
    <mergeCell ref="C84:D86"/>
    <mergeCell ref="E84:F86"/>
    <mergeCell ref="C92:F92"/>
    <mergeCell ref="C94:F94"/>
    <mergeCell ref="C60:D62"/>
    <mergeCell ref="E60:F62"/>
    <mergeCell ref="C68:F68"/>
    <mergeCell ref="C70:F70"/>
    <mergeCell ref="C72:D74"/>
    <mergeCell ref="E72:F74"/>
    <mergeCell ref="C56:F56"/>
    <mergeCell ref="C58:F58"/>
    <mergeCell ref="C24:D26"/>
    <mergeCell ref="E24:F26"/>
    <mergeCell ref="C32:F32"/>
    <mergeCell ref="C34:F34"/>
    <mergeCell ref="C36:D38"/>
    <mergeCell ref="E36:F38"/>
    <mergeCell ref="C80:F80"/>
    <mergeCell ref="C8:F8"/>
    <mergeCell ref="C10:F10"/>
    <mergeCell ref="C12:D14"/>
    <mergeCell ref="E12:F14"/>
    <mergeCell ref="C20:F20"/>
    <mergeCell ref="C22:F22"/>
    <mergeCell ref="C44:F44"/>
    <mergeCell ref="C46:F46"/>
    <mergeCell ref="C48:D50"/>
    <mergeCell ref="E48:F50"/>
  </mergeCells>
  <pageMargins left="0.23622047244094491" right="0.23622047244094491" top="0.74803149606299213" bottom="0.74803149606299213" header="0.31496062992125984" footer="0.31496062992125984"/>
  <pageSetup paperSize="9" scale="90" orientation="portrait" horizontalDpi="300" verticalDpi="300" r:id="rId1"/>
  <drawing r:id="rId2"/>
  <legacyDrawing r:id="rId3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0" tint="-0.249977111117893"/>
  </sheetPr>
  <dimension ref="A1:R484"/>
  <sheetViews>
    <sheetView showGridLines="0" zoomScaleNormal="100" workbookViewId="0">
      <pane ySplit="1" topLeftCell="A2" activePane="bottomLeft" state="frozen"/>
      <selection activeCell="N13" sqref="N13"/>
      <selection pane="bottomLeft" activeCell="A2" sqref="A2"/>
    </sheetView>
  </sheetViews>
  <sheetFormatPr baseColWidth="10" defaultColWidth="11.44140625" defaultRowHeight="13.8" x14ac:dyDescent="0.3"/>
  <cols>
    <col min="1" max="1" width="0.109375" style="79" customWidth="1"/>
    <col min="2" max="2" width="6.44140625" style="66" customWidth="1"/>
    <col min="3" max="3" width="4.44140625" style="66" customWidth="1"/>
    <col min="4" max="4" width="49.44140625" style="66" customWidth="1"/>
    <col min="5" max="5" width="51.44140625" style="66" customWidth="1"/>
    <col min="6" max="6" width="4" style="66" customWidth="1"/>
    <col min="7" max="16384" width="11.44140625" style="66"/>
  </cols>
  <sheetData>
    <row r="1" spans="1:18" s="80" customFormat="1" ht="45" customHeight="1" x14ac:dyDescent="0.3">
      <c r="A1" s="79"/>
      <c r="C1" s="81" t="str">
        <f ca="1">' '!A367</f>
        <v>I N D I K A T O R E N   Z I E L E</v>
      </c>
      <c r="D1" s="81"/>
      <c r="E1" s="81"/>
      <c r="F1" s="82"/>
      <c r="G1" s="83"/>
      <c r="H1" s="84"/>
      <c r="O1" s="85"/>
      <c r="P1" s="85"/>
      <c r="Q1" s="85"/>
      <c r="R1" s="85"/>
    </row>
    <row r="2" spans="1:18" ht="15.6" x14ac:dyDescent="0.3">
      <c r="A2" s="86"/>
      <c r="C2" s="87"/>
      <c r="D2" s="88"/>
      <c r="O2" s="85"/>
      <c r="P2" s="85"/>
      <c r="Q2" s="85"/>
      <c r="R2" s="85"/>
    </row>
    <row r="3" spans="1:18" ht="3.9" customHeight="1" x14ac:dyDescent="0.3">
      <c r="A3" s="89"/>
    </row>
    <row r="4" spans="1:18" ht="6.6" customHeight="1" x14ac:dyDescent="0.3">
      <c r="A4" s="90"/>
      <c r="D4" s="91"/>
    </row>
    <row r="5" spans="1:18" ht="24" customHeight="1" x14ac:dyDescent="0.3">
      <c r="A5" s="90"/>
      <c r="C5" s="92" t="s">
        <v>1899</v>
      </c>
      <c r="D5" s="93" t="str">
        <f>__s1</f>
        <v>Indikator 1</v>
      </c>
      <c r="E5" s="94"/>
      <c r="F5" s="94"/>
    </row>
    <row r="6" spans="1:18" ht="4.5" customHeight="1" x14ac:dyDescent="0.3">
      <c r="A6" s="90"/>
    </row>
    <row r="7" spans="1:18" x14ac:dyDescent="0.3">
      <c r="A7" s="90"/>
      <c r="C7" s="95"/>
      <c r="D7" s="95" t="str">
        <f ca="1">' '!$A$364</f>
        <v>Beschreibung/Bemerkungen</v>
      </c>
      <c r="E7" s="95"/>
      <c r="F7" s="95"/>
    </row>
    <row r="8" spans="1:18" ht="51" customHeight="1" x14ac:dyDescent="0.3">
      <c r="A8" s="90"/>
      <c r="C8" s="1121"/>
      <c r="D8" s="1121"/>
      <c r="E8" s="1121"/>
      <c r="F8" s="1121"/>
    </row>
    <row r="9" spans="1:18" x14ac:dyDescent="0.3">
      <c r="A9" s="90"/>
      <c r="C9" s="95"/>
      <c r="D9" s="95" t="str">
        <f ca="1">' '!$A$363</f>
        <v>Berechnung</v>
      </c>
      <c r="E9" s="95"/>
      <c r="F9" s="95"/>
    </row>
    <row r="10" spans="1:18" ht="57.9" customHeight="1" x14ac:dyDescent="0.3">
      <c r="A10" s="90"/>
      <c r="C10" s="1121"/>
      <c r="D10" s="1121"/>
      <c r="E10" s="1121"/>
      <c r="F10" s="1121"/>
    </row>
    <row r="11" spans="1:18" x14ac:dyDescent="0.3">
      <c r="A11" s="90"/>
      <c r="C11" s="95"/>
      <c r="D11" s="96" t="str">
        <f ca="1">' '!$A$365</f>
        <v>Quelle</v>
      </c>
      <c r="E11" s="95" t="str">
        <f ca="1">' '!$A$366</f>
        <v>Erhebungszeitpunkt &amp; Branchenvergleich</v>
      </c>
      <c r="F11" s="95"/>
    </row>
    <row r="12" spans="1:18" x14ac:dyDescent="0.3">
      <c r="A12" s="90"/>
      <c r="C12" s="1122"/>
      <c r="D12" s="1123"/>
      <c r="E12" s="1122"/>
      <c r="F12" s="1123"/>
    </row>
    <row r="13" spans="1:18" x14ac:dyDescent="0.3">
      <c r="A13" s="90"/>
      <c r="C13" s="1122"/>
      <c r="D13" s="1123"/>
      <c r="E13" s="1122"/>
      <c r="F13" s="1123"/>
    </row>
    <row r="14" spans="1:18" x14ac:dyDescent="0.3">
      <c r="A14" s="90"/>
      <c r="C14" s="1122"/>
      <c r="D14" s="1123"/>
      <c r="E14" s="1122"/>
      <c r="F14" s="1123"/>
    </row>
    <row r="15" spans="1:18" ht="4.5" customHeight="1" x14ac:dyDescent="0.3">
      <c r="A15" s="90"/>
      <c r="C15" s="95"/>
      <c r="D15" s="95"/>
      <c r="E15" s="95"/>
      <c r="F15" s="95"/>
    </row>
    <row r="16" spans="1:18" ht="8.4" customHeight="1" x14ac:dyDescent="0.3">
      <c r="A16" s="90"/>
      <c r="D16" s="91"/>
    </row>
    <row r="17" spans="1:6" ht="24" customHeight="1" x14ac:dyDescent="0.3">
      <c r="A17" s="90"/>
      <c r="C17" s="92" t="s">
        <v>1900</v>
      </c>
      <c r="D17" s="93">
        <f>Massnahmen!E9</f>
        <v>0</v>
      </c>
      <c r="E17" s="94"/>
      <c r="F17" s="94"/>
    </row>
    <row r="18" spans="1:6" x14ac:dyDescent="0.3">
      <c r="A18" s="90"/>
    </row>
    <row r="19" spans="1:6" x14ac:dyDescent="0.3">
      <c r="A19" s="90"/>
      <c r="C19" s="95"/>
      <c r="D19" s="95" t="str">
        <f ca="1">' '!$A$364</f>
        <v>Beschreibung/Bemerkungen</v>
      </c>
      <c r="E19" s="95"/>
      <c r="F19" s="95"/>
    </row>
    <row r="20" spans="1:6" x14ac:dyDescent="0.3">
      <c r="A20" s="90"/>
      <c r="C20" s="1121"/>
      <c r="D20" s="1121"/>
      <c r="E20" s="1121"/>
      <c r="F20" s="1121"/>
    </row>
    <row r="21" spans="1:6" x14ac:dyDescent="0.3">
      <c r="A21" s="90"/>
      <c r="C21" s="95"/>
      <c r="D21" s="95" t="str">
        <f ca="1">' '!$A$363</f>
        <v>Berechnung</v>
      </c>
      <c r="E21" s="95"/>
      <c r="F21" s="95"/>
    </row>
    <row r="22" spans="1:6" x14ac:dyDescent="0.3">
      <c r="A22" s="90"/>
      <c r="C22" s="1121"/>
      <c r="D22" s="1121"/>
      <c r="E22" s="1121" t="s">
        <v>695</v>
      </c>
      <c r="F22" s="1121"/>
    </row>
    <row r="23" spans="1:6" x14ac:dyDescent="0.3">
      <c r="A23" s="90"/>
      <c r="C23" s="95"/>
      <c r="D23" s="96" t="str">
        <f ca="1">' '!$A$365</f>
        <v>Quelle</v>
      </c>
      <c r="E23" s="95" t="str">
        <f ca="1">' '!$A$366</f>
        <v>Erhebungszeitpunkt &amp; Branchenvergleich</v>
      </c>
      <c r="F23" s="95"/>
    </row>
    <row r="24" spans="1:6" x14ac:dyDescent="0.3">
      <c r="A24" s="90"/>
      <c r="C24" s="1122"/>
      <c r="D24" s="1123"/>
      <c r="E24" s="1122"/>
      <c r="F24" s="1123"/>
    </row>
    <row r="25" spans="1:6" x14ac:dyDescent="0.3">
      <c r="A25" s="90"/>
      <c r="C25" s="1122"/>
      <c r="D25" s="1123"/>
      <c r="E25" s="1122"/>
      <c r="F25" s="1123"/>
    </row>
    <row r="26" spans="1:6" x14ac:dyDescent="0.3">
      <c r="A26" s="90"/>
      <c r="C26" s="1122"/>
      <c r="D26" s="1123"/>
      <c r="E26" s="1122"/>
      <c r="F26" s="1123"/>
    </row>
    <row r="27" spans="1:6" x14ac:dyDescent="0.3">
      <c r="A27" s="90"/>
      <c r="C27" s="95"/>
      <c r="D27" s="95"/>
      <c r="E27" s="95"/>
      <c r="F27" s="95"/>
    </row>
    <row r="28" spans="1:6" ht="15.6" x14ac:dyDescent="0.3">
      <c r="A28" s="90"/>
      <c r="D28" s="91"/>
    </row>
    <row r="29" spans="1:6" ht="24" customHeight="1" x14ac:dyDescent="0.3">
      <c r="A29" s="90"/>
      <c r="C29" s="92" t="s">
        <v>1901</v>
      </c>
      <c r="D29" s="93">
        <f>__s3</f>
        <v>0</v>
      </c>
      <c r="E29" s="94"/>
      <c r="F29" s="94"/>
    </row>
    <row r="30" spans="1:6" x14ac:dyDescent="0.3">
      <c r="A30" s="90"/>
    </row>
    <row r="31" spans="1:6" x14ac:dyDescent="0.3">
      <c r="A31" s="90"/>
      <c r="C31" s="95"/>
      <c r="D31" s="95" t="str">
        <f ca="1">' '!$A$364</f>
        <v>Beschreibung/Bemerkungen</v>
      </c>
      <c r="E31" s="95"/>
      <c r="F31" s="95"/>
    </row>
    <row r="32" spans="1:6" x14ac:dyDescent="0.3">
      <c r="A32" s="90"/>
      <c r="C32" s="1121"/>
      <c r="D32" s="1121"/>
      <c r="E32" s="1121"/>
      <c r="F32" s="1121"/>
    </row>
    <row r="33" spans="1:6" x14ac:dyDescent="0.3">
      <c r="A33" s="90"/>
      <c r="C33" s="95"/>
      <c r="D33" s="95" t="str">
        <f ca="1">' '!$A$363</f>
        <v>Berechnung</v>
      </c>
      <c r="E33" s="95"/>
      <c r="F33" s="95"/>
    </row>
    <row r="34" spans="1:6" x14ac:dyDescent="0.3">
      <c r="A34" s="90"/>
      <c r="C34" s="1121"/>
      <c r="D34" s="1121"/>
      <c r="E34" s="1121" t="s">
        <v>695</v>
      </c>
      <c r="F34" s="1121"/>
    </row>
    <row r="35" spans="1:6" x14ac:dyDescent="0.3">
      <c r="A35" s="90"/>
      <c r="C35" s="95"/>
      <c r="D35" s="96" t="str">
        <f ca="1">' '!$A$365</f>
        <v>Quelle</v>
      </c>
      <c r="E35" s="95" t="str">
        <f ca="1">' '!$A$366</f>
        <v>Erhebungszeitpunkt &amp; Branchenvergleich</v>
      </c>
      <c r="F35" s="95"/>
    </row>
    <row r="36" spans="1:6" x14ac:dyDescent="0.3">
      <c r="A36" s="90"/>
      <c r="C36" s="1122"/>
      <c r="D36" s="1123"/>
      <c r="E36" s="1122"/>
      <c r="F36" s="1123"/>
    </row>
    <row r="37" spans="1:6" x14ac:dyDescent="0.3">
      <c r="A37" s="90"/>
      <c r="C37" s="1122"/>
      <c r="D37" s="1123"/>
      <c r="E37" s="1122"/>
      <c r="F37" s="1123"/>
    </row>
    <row r="38" spans="1:6" x14ac:dyDescent="0.3">
      <c r="A38" s="90"/>
      <c r="C38" s="1122"/>
      <c r="D38" s="1123"/>
      <c r="E38" s="1122"/>
      <c r="F38" s="1123"/>
    </row>
    <row r="39" spans="1:6" x14ac:dyDescent="0.3">
      <c r="A39" s="90"/>
      <c r="C39" s="95"/>
      <c r="D39" s="95"/>
      <c r="E39" s="95"/>
      <c r="F39" s="95"/>
    </row>
    <row r="40" spans="1:6" ht="15.6" x14ac:dyDescent="0.3">
      <c r="A40" s="90"/>
      <c r="D40" s="91"/>
    </row>
    <row r="41" spans="1:6" ht="24" customHeight="1" x14ac:dyDescent="0.3">
      <c r="A41" s="90"/>
      <c r="C41" s="92" t="s">
        <v>1902</v>
      </c>
      <c r="D41" s="93">
        <f>__s4</f>
        <v>0</v>
      </c>
      <c r="E41" s="94"/>
      <c r="F41" s="94"/>
    </row>
    <row r="42" spans="1:6" x14ac:dyDescent="0.3">
      <c r="A42" s="90"/>
    </row>
    <row r="43" spans="1:6" x14ac:dyDescent="0.3">
      <c r="A43" s="90"/>
      <c r="C43" s="95"/>
      <c r="D43" s="95" t="str">
        <f ca="1">' '!$A$364</f>
        <v>Beschreibung/Bemerkungen</v>
      </c>
      <c r="E43" s="95"/>
      <c r="F43" s="95"/>
    </row>
    <row r="44" spans="1:6" x14ac:dyDescent="0.3">
      <c r="A44" s="90"/>
      <c r="C44" s="1121"/>
      <c r="D44" s="1121"/>
      <c r="E44" s="1121"/>
      <c r="F44" s="1121"/>
    </row>
    <row r="45" spans="1:6" x14ac:dyDescent="0.3">
      <c r="A45" s="90"/>
      <c r="C45" s="95"/>
      <c r="D45" s="95" t="str">
        <f ca="1">' '!$A$363</f>
        <v>Berechnung</v>
      </c>
      <c r="E45" s="95"/>
      <c r="F45" s="95"/>
    </row>
    <row r="46" spans="1:6" x14ac:dyDescent="0.3">
      <c r="A46" s="90"/>
      <c r="C46" s="1121"/>
      <c r="D46" s="1121"/>
      <c r="E46" s="1121" t="s">
        <v>695</v>
      </c>
      <c r="F46" s="1121"/>
    </row>
    <row r="47" spans="1:6" x14ac:dyDescent="0.3">
      <c r="A47" s="90"/>
      <c r="C47" s="95"/>
      <c r="D47" s="96" t="str">
        <f ca="1">' '!$A$365</f>
        <v>Quelle</v>
      </c>
      <c r="E47" s="95" t="str">
        <f ca="1">' '!$A$366</f>
        <v>Erhebungszeitpunkt &amp; Branchenvergleich</v>
      </c>
      <c r="F47" s="95"/>
    </row>
    <row r="48" spans="1:6" x14ac:dyDescent="0.3">
      <c r="A48" s="90"/>
      <c r="C48" s="1122"/>
      <c r="D48" s="1123"/>
      <c r="E48" s="1122"/>
      <c r="F48" s="1123"/>
    </row>
    <row r="49" spans="1:6" x14ac:dyDescent="0.3">
      <c r="A49" s="90"/>
      <c r="C49" s="1122"/>
      <c r="D49" s="1123"/>
      <c r="E49" s="1122"/>
      <c r="F49" s="1123"/>
    </row>
    <row r="50" spans="1:6" x14ac:dyDescent="0.3">
      <c r="A50" s="90"/>
      <c r="C50" s="1122"/>
      <c r="D50" s="1123"/>
      <c r="E50" s="1122"/>
      <c r="F50" s="1123"/>
    </row>
    <row r="51" spans="1:6" x14ac:dyDescent="0.3">
      <c r="A51" s="90"/>
      <c r="C51" s="95"/>
      <c r="D51" s="95"/>
      <c r="E51" s="95"/>
      <c r="F51" s="95"/>
    </row>
    <row r="52" spans="1:6" ht="15.6" x14ac:dyDescent="0.3">
      <c r="A52" s="90"/>
      <c r="D52" s="91"/>
    </row>
    <row r="53" spans="1:6" ht="24" customHeight="1" x14ac:dyDescent="0.3">
      <c r="A53" s="90"/>
      <c r="C53" s="92" t="s">
        <v>1903</v>
      </c>
      <c r="D53" s="93">
        <f>__s5</f>
        <v>0</v>
      </c>
      <c r="E53" s="94"/>
      <c r="F53" s="94"/>
    </row>
    <row r="54" spans="1:6" x14ac:dyDescent="0.3">
      <c r="A54" s="90"/>
    </row>
    <row r="55" spans="1:6" x14ac:dyDescent="0.3">
      <c r="A55" s="90"/>
      <c r="C55" s="95"/>
      <c r="D55" s="95" t="str">
        <f ca="1">' '!$A$364</f>
        <v>Beschreibung/Bemerkungen</v>
      </c>
      <c r="E55" s="95"/>
      <c r="F55" s="95"/>
    </row>
    <row r="56" spans="1:6" x14ac:dyDescent="0.3">
      <c r="A56" s="90"/>
      <c r="C56" s="1121"/>
      <c r="D56" s="1121"/>
      <c r="E56" s="1121"/>
      <c r="F56" s="1121"/>
    </row>
    <row r="57" spans="1:6" x14ac:dyDescent="0.3">
      <c r="A57" s="90"/>
      <c r="C57" s="95"/>
      <c r="D57" s="95" t="str">
        <f ca="1">' '!$A$363</f>
        <v>Berechnung</v>
      </c>
      <c r="E57" s="95"/>
      <c r="F57" s="95"/>
    </row>
    <row r="58" spans="1:6" x14ac:dyDescent="0.3">
      <c r="A58" s="90"/>
      <c r="C58" s="1121"/>
      <c r="D58" s="1121"/>
      <c r="E58" s="1121" t="s">
        <v>695</v>
      </c>
      <c r="F58" s="1121"/>
    </row>
    <row r="59" spans="1:6" x14ac:dyDescent="0.3">
      <c r="A59" s="90"/>
      <c r="C59" s="95"/>
      <c r="D59" s="96" t="str">
        <f ca="1">' '!$A$365</f>
        <v>Quelle</v>
      </c>
      <c r="E59" s="95" t="str">
        <f ca="1">' '!$A$366</f>
        <v>Erhebungszeitpunkt &amp; Branchenvergleich</v>
      </c>
      <c r="F59" s="95"/>
    </row>
    <row r="60" spans="1:6" x14ac:dyDescent="0.3">
      <c r="A60" s="90"/>
      <c r="C60" s="1122"/>
      <c r="D60" s="1123"/>
      <c r="E60" s="1122"/>
      <c r="F60" s="1123"/>
    </row>
    <row r="61" spans="1:6" x14ac:dyDescent="0.3">
      <c r="A61" s="90"/>
      <c r="C61" s="1122"/>
      <c r="D61" s="1123"/>
      <c r="E61" s="1122"/>
      <c r="F61" s="1123"/>
    </row>
    <row r="62" spans="1:6" x14ac:dyDescent="0.3">
      <c r="A62" s="90"/>
      <c r="C62" s="1122"/>
      <c r="D62" s="1123"/>
      <c r="E62" s="1122"/>
      <c r="F62" s="1123"/>
    </row>
    <row r="63" spans="1:6" x14ac:dyDescent="0.3">
      <c r="A63" s="90"/>
      <c r="C63" s="95"/>
      <c r="D63" s="95"/>
      <c r="E63" s="95"/>
      <c r="F63" s="95"/>
    </row>
    <row r="64" spans="1:6" ht="15.6" x14ac:dyDescent="0.3">
      <c r="A64" s="90"/>
      <c r="D64" s="91"/>
    </row>
    <row r="65" spans="1:6" ht="24" customHeight="1" x14ac:dyDescent="0.3">
      <c r="A65" s="90"/>
      <c r="C65" s="92" t="s">
        <v>1904</v>
      </c>
      <c r="D65" s="93">
        <f>__s6</f>
        <v>0</v>
      </c>
      <c r="E65" s="94"/>
      <c r="F65" s="94"/>
    </row>
    <row r="66" spans="1:6" x14ac:dyDescent="0.3">
      <c r="A66" s="90"/>
    </row>
    <row r="67" spans="1:6" x14ac:dyDescent="0.3">
      <c r="A67" s="90"/>
      <c r="C67" s="95"/>
      <c r="D67" s="95" t="str">
        <f ca="1">' '!$A$364</f>
        <v>Beschreibung/Bemerkungen</v>
      </c>
      <c r="E67" s="95"/>
      <c r="F67" s="95"/>
    </row>
    <row r="68" spans="1:6" x14ac:dyDescent="0.3">
      <c r="A68" s="90"/>
      <c r="C68" s="1121"/>
      <c r="D68" s="1121"/>
      <c r="E68" s="1121"/>
      <c r="F68" s="1121"/>
    </row>
    <row r="69" spans="1:6" x14ac:dyDescent="0.3">
      <c r="A69" s="90"/>
      <c r="C69" s="95"/>
      <c r="D69" s="95" t="str">
        <f ca="1">' '!$A$363</f>
        <v>Berechnung</v>
      </c>
      <c r="E69" s="95"/>
      <c r="F69" s="95"/>
    </row>
    <row r="70" spans="1:6" x14ac:dyDescent="0.3">
      <c r="A70" s="90"/>
      <c r="C70" s="1121"/>
      <c r="D70" s="1121"/>
      <c r="E70" s="1121" t="s">
        <v>695</v>
      </c>
      <c r="F70" s="1121"/>
    </row>
    <row r="71" spans="1:6" x14ac:dyDescent="0.3">
      <c r="A71" s="90"/>
      <c r="C71" s="95"/>
      <c r="D71" s="96" t="str">
        <f ca="1">' '!$A$365</f>
        <v>Quelle</v>
      </c>
      <c r="E71" s="95" t="str">
        <f ca="1">' '!$A$366</f>
        <v>Erhebungszeitpunkt &amp; Branchenvergleich</v>
      </c>
      <c r="F71" s="95"/>
    </row>
    <row r="72" spans="1:6" x14ac:dyDescent="0.3">
      <c r="A72" s="90"/>
      <c r="C72" s="1122"/>
      <c r="D72" s="1123"/>
      <c r="E72" s="1122"/>
      <c r="F72" s="1123"/>
    </row>
    <row r="73" spans="1:6" x14ac:dyDescent="0.3">
      <c r="A73" s="90"/>
      <c r="C73" s="1122"/>
      <c r="D73" s="1123"/>
      <c r="E73" s="1122"/>
      <c r="F73" s="1123"/>
    </row>
    <row r="74" spans="1:6" x14ac:dyDescent="0.3">
      <c r="A74" s="90"/>
      <c r="C74" s="1122"/>
      <c r="D74" s="1123"/>
      <c r="E74" s="1122"/>
      <c r="F74" s="1123"/>
    </row>
    <row r="75" spans="1:6" x14ac:dyDescent="0.3">
      <c r="A75" s="90"/>
      <c r="C75" s="95"/>
      <c r="D75" s="95"/>
      <c r="E75" s="95"/>
      <c r="F75" s="95"/>
    </row>
    <row r="76" spans="1:6" ht="15.6" x14ac:dyDescent="0.3">
      <c r="A76" s="90"/>
      <c r="D76" s="91"/>
    </row>
    <row r="77" spans="1:6" ht="24" customHeight="1" x14ac:dyDescent="0.3">
      <c r="A77" s="90"/>
      <c r="C77" s="92" t="s">
        <v>1905</v>
      </c>
      <c r="D77" s="93">
        <f>__s7</f>
        <v>0</v>
      </c>
      <c r="E77" s="94"/>
      <c r="F77" s="94"/>
    </row>
    <row r="78" spans="1:6" x14ac:dyDescent="0.3">
      <c r="A78" s="90"/>
    </row>
    <row r="79" spans="1:6" x14ac:dyDescent="0.3">
      <c r="A79" s="90"/>
      <c r="C79" s="95"/>
      <c r="D79" s="95" t="str">
        <f ca="1">' '!$A$364</f>
        <v>Beschreibung/Bemerkungen</v>
      </c>
      <c r="E79" s="95"/>
      <c r="F79" s="95"/>
    </row>
    <row r="80" spans="1:6" x14ac:dyDescent="0.3">
      <c r="A80" s="90"/>
      <c r="C80" s="1121"/>
      <c r="D80" s="1121"/>
      <c r="E80" s="1121"/>
      <c r="F80" s="1121"/>
    </row>
    <row r="81" spans="1:6" x14ac:dyDescent="0.3">
      <c r="A81" s="90"/>
      <c r="C81" s="95"/>
      <c r="D81" s="95" t="str">
        <f ca="1">' '!$A$363</f>
        <v>Berechnung</v>
      </c>
      <c r="E81" s="95"/>
      <c r="F81" s="95"/>
    </row>
    <row r="82" spans="1:6" x14ac:dyDescent="0.3">
      <c r="A82" s="90"/>
      <c r="C82" s="1121"/>
      <c r="D82" s="1121"/>
      <c r="E82" s="1121" t="s">
        <v>695</v>
      </c>
      <c r="F82" s="1121"/>
    </row>
    <row r="83" spans="1:6" x14ac:dyDescent="0.3">
      <c r="A83" s="90"/>
      <c r="C83" s="95"/>
      <c r="D83" s="96" t="str">
        <f ca="1">' '!$A$365</f>
        <v>Quelle</v>
      </c>
      <c r="E83" s="95" t="str">
        <f ca="1">' '!$A$366</f>
        <v>Erhebungszeitpunkt &amp; Branchenvergleich</v>
      </c>
      <c r="F83" s="95"/>
    </row>
    <row r="84" spans="1:6" x14ac:dyDescent="0.3">
      <c r="A84" s="90"/>
      <c r="C84" s="1122"/>
      <c r="D84" s="1123"/>
      <c r="E84" s="1122"/>
      <c r="F84" s="1123"/>
    </row>
    <row r="85" spans="1:6" x14ac:dyDescent="0.3">
      <c r="A85" s="90"/>
      <c r="C85" s="1122"/>
      <c r="D85" s="1123"/>
      <c r="E85" s="1122"/>
      <c r="F85" s="1123"/>
    </row>
    <row r="86" spans="1:6" x14ac:dyDescent="0.3">
      <c r="A86" s="90"/>
      <c r="C86" s="1122"/>
      <c r="D86" s="1123"/>
      <c r="E86" s="1122"/>
      <c r="F86" s="1123"/>
    </row>
    <row r="87" spans="1:6" x14ac:dyDescent="0.3">
      <c r="A87" s="90"/>
      <c r="C87" s="95"/>
      <c r="D87" s="95"/>
      <c r="E87" s="95"/>
      <c r="F87" s="95"/>
    </row>
    <row r="88" spans="1:6" ht="15.6" x14ac:dyDescent="0.3">
      <c r="A88" s="90"/>
      <c r="D88" s="91"/>
    </row>
    <row r="89" spans="1:6" ht="24" customHeight="1" x14ac:dyDescent="0.3">
      <c r="A89" s="90"/>
      <c r="C89" s="92" t="s">
        <v>1906</v>
      </c>
      <c r="D89" s="93">
        <f>__s8</f>
        <v>0</v>
      </c>
      <c r="E89" s="94"/>
      <c r="F89" s="94"/>
    </row>
    <row r="90" spans="1:6" x14ac:dyDescent="0.3">
      <c r="A90" s="90"/>
    </row>
    <row r="91" spans="1:6" x14ac:dyDescent="0.3">
      <c r="A91" s="90"/>
      <c r="C91" s="95"/>
      <c r="D91" s="95" t="str">
        <f ca="1">' '!$A$364</f>
        <v>Beschreibung/Bemerkungen</v>
      </c>
      <c r="E91" s="95"/>
      <c r="F91" s="95"/>
    </row>
    <row r="92" spans="1:6" x14ac:dyDescent="0.3">
      <c r="A92" s="90"/>
      <c r="C92" s="1121"/>
      <c r="D92" s="1121"/>
      <c r="E92" s="1121"/>
      <c r="F92" s="1121"/>
    </row>
    <row r="93" spans="1:6" x14ac:dyDescent="0.3">
      <c r="A93" s="90"/>
      <c r="C93" s="95"/>
      <c r="D93" s="95" t="str">
        <f ca="1">' '!$A$363</f>
        <v>Berechnung</v>
      </c>
      <c r="E93" s="95"/>
      <c r="F93" s="95"/>
    </row>
    <row r="94" spans="1:6" x14ac:dyDescent="0.3">
      <c r="A94" s="90"/>
      <c r="C94" s="1121"/>
      <c r="D94" s="1121"/>
      <c r="E94" s="1121" t="s">
        <v>695</v>
      </c>
      <c r="F94" s="1121"/>
    </row>
    <row r="95" spans="1:6" x14ac:dyDescent="0.3">
      <c r="A95" s="90"/>
      <c r="C95" s="95"/>
      <c r="D95" s="96" t="str">
        <f ca="1">' '!$A$365</f>
        <v>Quelle</v>
      </c>
      <c r="E95" s="95" t="str">
        <f ca="1">' '!$A$366</f>
        <v>Erhebungszeitpunkt &amp; Branchenvergleich</v>
      </c>
      <c r="F95" s="95"/>
    </row>
    <row r="96" spans="1:6" x14ac:dyDescent="0.3">
      <c r="A96" s="90"/>
      <c r="C96" s="1122"/>
      <c r="D96" s="1123"/>
      <c r="E96" s="1122"/>
      <c r="F96" s="1123"/>
    </row>
    <row r="97" spans="1:6" x14ac:dyDescent="0.3">
      <c r="A97" s="90"/>
      <c r="C97" s="1122"/>
      <c r="D97" s="1123"/>
      <c r="E97" s="1122"/>
      <c r="F97" s="1123"/>
    </row>
    <row r="98" spans="1:6" x14ac:dyDescent="0.3">
      <c r="A98" s="90"/>
      <c r="C98" s="1122"/>
      <c r="D98" s="1123"/>
      <c r="E98" s="1122"/>
      <c r="F98" s="1123"/>
    </row>
    <row r="99" spans="1:6" x14ac:dyDescent="0.3">
      <c r="A99" s="90"/>
      <c r="C99" s="95"/>
      <c r="D99" s="95"/>
      <c r="E99" s="95"/>
      <c r="F99" s="95"/>
    </row>
    <row r="100" spans="1:6" ht="15.6" x14ac:dyDescent="0.3">
      <c r="A100" s="90"/>
      <c r="D100" s="91"/>
    </row>
    <row r="101" spans="1:6" ht="24" customHeight="1" x14ac:dyDescent="0.3">
      <c r="A101" s="90"/>
      <c r="C101" s="92" t="s">
        <v>1907</v>
      </c>
      <c r="D101" s="93">
        <f>__s9</f>
        <v>0</v>
      </c>
      <c r="E101" s="94"/>
      <c r="F101" s="94"/>
    </row>
    <row r="102" spans="1:6" x14ac:dyDescent="0.3">
      <c r="A102" s="90"/>
    </row>
    <row r="103" spans="1:6" x14ac:dyDescent="0.3">
      <c r="A103" s="90"/>
      <c r="C103" s="95"/>
      <c r="D103" s="95" t="str">
        <f ca="1">' '!$A$364</f>
        <v>Beschreibung/Bemerkungen</v>
      </c>
      <c r="E103" s="95"/>
      <c r="F103" s="95"/>
    </row>
    <row r="104" spans="1:6" x14ac:dyDescent="0.3">
      <c r="A104" s="90"/>
      <c r="C104" s="1121"/>
      <c r="D104" s="1121"/>
      <c r="E104" s="1121"/>
      <c r="F104" s="1121"/>
    </row>
    <row r="105" spans="1:6" x14ac:dyDescent="0.3">
      <c r="A105" s="90"/>
      <c r="C105" s="95"/>
      <c r="D105" s="95" t="str">
        <f ca="1">' '!$A$363</f>
        <v>Berechnung</v>
      </c>
      <c r="E105" s="95"/>
      <c r="F105" s="95"/>
    </row>
    <row r="106" spans="1:6" x14ac:dyDescent="0.3">
      <c r="A106" s="90"/>
      <c r="C106" s="1121"/>
      <c r="D106" s="1121"/>
      <c r="E106" s="1121" t="s">
        <v>695</v>
      </c>
      <c r="F106" s="1121"/>
    </row>
    <row r="107" spans="1:6" x14ac:dyDescent="0.3">
      <c r="A107" s="90"/>
      <c r="C107" s="95"/>
      <c r="D107" s="96" t="str">
        <f ca="1">' '!$A$365</f>
        <v>Quelle</v>
      </c>
      <c r="E107" s="95" t="str">
        <f ca="1">' '!$A$366</f>
        <v>Erhebungszeitpunkt &amp; Branchenvergleich</v>
      </c>
      <c r="F107" s="95"/>
    </row>
    <row r="108" spans="1:6" x14ac:dyDescent="0.3">
      <c r="A108" s="90"/>
      <c r="C108" s="1122"/>
      <c r="D108" s="1123"/>
      <c r="E108" s="1122"/>
      <c r="F108" s="1123"/>
    </row>
    <row r="109" spans="1:6" x14ac:dyDescent="0.3">
      <c r="A109" s="90"/>
      <c r="C109" s="1122"/>
      <c r="D109" s="1123"/>
      <c r="E109" s="1122"/>
      <c r="F109" s="1123"/>
    </row>
    <row r="110" spans="1:6" x14ac:dyDescent="0.3">
      <c r="A110" s="90"/>
      <c r="C110" s="1122"/>
      <c r="D110" s="1123"/>
      <c r="E110" s="1122"/>
      <c r="F110" s="1123"/>
    </row>
    <row r="111" spans="1:6" x14ac:dyDescent="0.3">
      <c r="A111" s="90"/>
      <c r="C111" s="95"/>
      <c r="D111" s="95"/>
      <c r="E111" s="95"/>
      <c r="F111" s="95"/>
    </row>
    <row r="112" spans="1:6" ht="15.6" x14ac:dyDescent="0.3">
      <c r="A112" s="90"/>
      <c r="D112" s="91"/>
    </row>
    <row r="113" spans="1:6" ht="24" customHeight="1" x14ac:dyDescent="0.3">
      <c r="A113" s="90"/>
      <c r="C113" s="92" t="s">
        <v>1908</v>
      </c>
      <c r="D113" s="93">
        <f>__s10</f>
        <v>0</v>
      </c>
      <c r="E113" s="94"/>
      <c r="F113" s="94"/>
    </row>
    <row r="114" spans="1:6" x14ac:dyDescent="0.3">
      <c r="A114" s="90"/>
    </row>
    <row r="115" spans="1:6" x14ac:dyDescent="0.3">
      <c r="A115" s="90"/>
      <c r="C115" s="95"/>
      <c r="D115" s="95" t="str">
        <f ca="1">' '!$A$364</f>
        <v>Beschreibung/Bemerkungen</v>
      </c>
      <c r="E115" s="95"/>
      <c r="F115" s="95"/>
    </row>
    <row r="116" spans="1:6" x14ac:dyDescent="0.3">
      <c r="A116" s="90"/>
      <c r="C116" s="1121"/>
      <c r="D116" s="1121"/>
      <c r="E116" s="1121"/>
      <c r="F116" s="1121"/>
    </row>
    <row r="117" spans="1:6" x14ac:dyDescent="0.3">
      <c r="A117" s="90"/>
      <c r="C117" s="95"/>
      <c r="D117" s="95" t="str">
        <f ca="1">' '!$A$363</f>
        <v>Berechnung</v>
      </c>
      <c r="E117" s="95"/>
      <c r="F117" s="95"/>
    </row>
    <row r="118" spans="1:6" x14ac:dyDescent="0.3">
      <c r="A118" s="90"/>
      <c r="C118" s="1121"/>
      <c r="D118" s="1121"/>
      <c r="E118" s="1121" t="s">
        <v>695</v>
      </c>
      <c r="F118" s="1121"/>
    </row>
    <row r="119" spans="1:6" x14ac:dyDescent="0.3">
      <c r="A119" s="90"/>
      <c r="C119" s="95"/>
      <c r="D119" s="96" t="str">
        <f ca="1">' '!$A$365</f>
        <v>Quelle</v>
      </c>
      <c r="E119" s="95" t="str">
        <f ca="1">' '!$A$366</f>
        <v>Erhebungszeitpunkt &amp; Branchenvergleich</v>
      </c>
      <c r="F119" s="95"/>
    </row>
    <row r="120" spans="1:6" x14ac:dyDescent="0.3">
      <c r="A120" s="90"/>
      <c r="C120" s="1122"/>
      <c r="D120" s="1123"/>
      <c r="E120" s="1122"/>
      <c r="F120" s="1123"/>
    </row>
    <row r="121" spans="1:6" x14ac:dyDescent="0.3">
      <c r="A121" s="90"/>
      <c r="C121" s="1122"/>
      <c r="D121" s="1123"/>
      <c r="E121" s="1122"/>
      <c r="F121" s="1123"/>
    </row>
    <row r="122" spans="1:6" x14ac:dyDescent="0.3">
      <c r="A122" s="90"/>
      <c r="C122" s="1122"/>
      <c r="D122" s="1123"/>
      <c r="E122" s="1122"/>
      <c r="F122" s="1123"/>
    </row>
    <row r="123" spans="1:6" x14ac:dyDescent="0.3">
      <c r="A123" s="90"/>
      <c r="C123" s="95"/>
      <c r="D123" s="95"/>
      <c r="E123" s="95"/>
      <c r="F123" s="95"/>
    </row>
    <row r="124" spans="1:6" ht="15.6" x14ac:dyDescent="0.3">
      <c r="A124" s="90"/>
      <c r="D124" s="91"/>
    </row>
    <row r="125" spans="1:6" ht="24" customHeight="1" x14ac:dyDescent="0.3">
      <c r="A125" s="90"/>
      <c r="C125" s="92" t="s">
        <v>1909</v>
      </c>
      <c r="D125" s="93">
        <f>__s11</f>
        <v>0</v>
      </c>
      <c r="E125" s="94"/>
      <c r="F125" s="94"/>
    </row>
    <row r="126" spans="1:6" x14ac:dyDescent="0.3">
      <c r="A126" s="90"/>
    </row>
    <row r="127" spans="1:6" x14ac:dyDescent="0.3">
      <c r="A127" s="90"/>
      <c r="C127" s="95"/>
      <c r="D127" s="95" t="str">
        <f ca="1">' '!$A$364</f>
        <v>Beschreibung/Bemerkungen</v>
      </c>
      <c r="E127" s="95"/>
      <c r="F127" s="95"/>
    </row>
    <row r="128" spans="1:6" x14ac:dyDescent="0.3">
      <c r="A128" s="90"/>
      <c r="C128" s="1121"/>
      <c r="D128" s="1121"/>
      <c r="E128" s="1121"/>
      <c r="F128" s="1121"/>
    </row>
    <row r="129" spans="1:6" x14ac:dyDescent="0.3">
      <c r="A129" s="90"/>
      <c r="C129" s="95"/>
      <c r="D129" s="95" t="str">
        <f ca="1">' '!$A$363</f>
        <v>Berechnung</v>
      </c>
      <c r="E129" s="95"/>
      <c r="F129" s="95"/>
    </row>
    <row r="130" spans="1:6" x14ac:dyDescent="0.3">
      <c r="A130" s="90"/>
      <c r="C130" s="1121"/>
      <c r="D130" s="1121"/>
      <c r="E130" s="1121" t="s">
        <v>695</v>
      </c>
      <c r="F130" s="1121"/>
    </row>
    <row r="131" spans="1:6" x14ac:dyDescent="0.3">
      <c r="A131" s="90"/>
      <c r="C131" s="95"/>
      <c r="D131" s="96" t="str">
        <f ca="1">' '!$A$365</f>
        <v>Quelle</v>
      </c>
      <c r="E131" s="95" t="str">
        <f ca="1">' '!$A$366</f>
        <v>Erhebungszeitpunkt &amp; Branchenvergleich</v>
      </c>
      <c r="F131" s="95"/>
    </row>
    <row r="132" spans="1:6" x14ac:dyDescent="0.3">
      <c r="A132" s="90"/>
      <c r="C132" s="1122"/>
      <c r="D132" s="1123"/>
      <c r="E132" s="1122"/>
      <c r="F132" s="1123"/>
    </row>
    <row r="133" spans="1:6" x14ac:dyDescent="0.3">
      <c r="A133" s="90"/>
      <c r="C133" s="1122"/>
      <c r="D133" s="1123"/>
      <c r="E133" s="1122"/>
      <c r="F133" s="1123"/>
    </row>
    <row r="134" spans="1:6" x14ac:dyDescent="0.3">
      <c r="A134" s="90"/>
      <c r="C134" s="1122"/>
      <c r="D134" s="1123"/>
      <c r="E134" s="1122"/>
      <c r="F134" s="1123"/>
    </row>
    <row r="135" spans="1:6" x14ac:dyDescent="0.3">
      <c r="A135" s="90"/>
      <c r="C135" s="95"/>
      <c r="D135" s="95"/>
      <c r="E135" s="95"/>
      <c r="F135" s="95"/>
    </row>
    <row r="136" spans="1:6" ht="15.6" x14ac:dyDescent="0.3">
      <c r="A136" s="90"/>
      <c r="D136" s="91"/>
    </row>
    <row r="137" spans="1:6" ht="24" customHeight="1" x14ac:dyDescent="0.3">
      <c r="A137" s="90"/>
      <c r="C137" s="92" t="s">
        <v>1910</v>
      </c>
      <c r="D137" s="93">
        <f>__s12</f>
        <v>0</v>
      </c>
      <c r="E137" s="94"/>
      <c r="F137" s="94"/>
    </row>
    <row r="138" spans="1:6" x14ac:dyDescent="0.3">
      <c r="A138" s="90"/>
    </row>
    <row r="139" spans="1:6" x14ac:dyDescent="0.3">
      <c r="A139" s="90"/>
      <c r="C139" s="95"/>
      <c r="D139" s="95" t="str">
        <f ca="1">' '!$A$364</f>
        <v>Beschreibung/Bemerkungen</v>
      </c>
      <c r="E139" s="95"/>
      <c r="F139" s="95"/>
    </row>
    <row r="140" spans="1:6" x14ac:dyDescent="0.3">
      <c r="A140" s="90"/>
      <c r="C140" s="1121"/>
      <c r="D140" s="1121"/>
      <c r="E140" s="1121"/>
      <c r="F140" s="1121"/>
    </row>
    <row r="141" spans="1:6" x14ac:dyDescent="0.3">
      <c r="A141" s="90"/>
      <c r="C141" s="95"/>
      <c r="D141" s="95" t="str">
        <f ca="1">' '!$A$363</f>
        <v>Berechnung</v>
      </c>
      <c r="E141" s="95"/>
      <c r="F141" s="95"/>
    </row>
    <row r="142" spans="1:6" x14ac:dyDescent="0.3">
      <c r="A142" s="90"/>
      <c r="C142" s="1121"/>
      <c r="D142" s="1121"/>
      <c r="E142" s="1121" t="s">
        <v>695</v>
      </c>
      <c r="F142" s="1121"/>
    </row>
    <row r="143" spans="1:6" x14ac:dyDescent="0.3">
      <c r="A143" s="90"/>
      <c r="C143" s="95"/>
      <c r="D143" s="96" t="str">
        <f ca="1">' '!$A$365</f>
        <v>Quelle</v>
      </c>
      <c r="E143" s="95" t="str">
        <f ca="1">' '!$A$366</f>
        <v>Erhebungszeitpunkt &amp; Branchenvergleich</v>
      </c>
      <c r="F143" s="95"/>
    </row>
    <row r="144" spans="1:6" x14ac:dyDescent="0.3">
      <c r="A144" s="90"/>
      <c r="C144" s="1122"/>
      <c r="D144" s="1123"/>
      <c r="E144" s="1122"/>
      <c r="F144" s="1123"/>
    </row>
    <row r="145" spans="1:6" x14ac:dyDescent="0.3">
      <c r="A145" s="90"/>
      <c r="C145" s="1122"/>
      <c r="D145" s="1123"/>
      <c r="E145" s="1122"/>
      <c r="F145" s="1123"/>
    </row>
    <row r="146" spans="1:6" x14ac:dyDescent="0.3">
      <c r="A146" s="90"/>
      <c r="C146" s="1122"/>
      <c r="D146" s="1123"/>
      <c r="E146" s="1122"/>
      <c r="F146" s="1123"/>
    </row>
    <row r="147" spans="1:6" x14ac:dyDescent="0.3">
      <c r="A147" s="90"/>
      <c r="C147" s="95"/>
      <c r="D147" s="95"/>
      <c r="E147" s="95"/>
      <c r="F147" s="95"/>
    </row>
    <row r="148" spans="1:6" ht="15.6" x14ac:dyDescent="0.3">
      <c r="A148" s="90"/>
      <c r="D148" s="91"/>
    </row>
    <row r="149" spans="1:6" ht="24" customHeight="1" x14ac:dyDescent="0.3">
      <c r="A149" s="90"/>
      <c r="C149" s="92" t="s">
        <v>1911</v>
      </c>
      <c r="D149" s="93">
        <f>__s13</f>
        <v>0</v>
      </c>
      <c r="E149" s="94"/>
      <c r="F149" s="94"/>
    </row>
    <row r="150" spans="1:6" x14ac:dyDescent="0.3">
      <c r="A150" s="90"/>
    </row>
    <row r="151" spans="1:6" x14ac:dyDescent="0.3">
      <c r="A151" s="90"/>
      <c r="C151" s="95"/>
      <c r="D151" s="95" t="str">
        <f ca="1">' '!$A$364</f>
        <v>Beschreibung/Bemerkungen</v>
      </c>
      <c r="E151" s="95"/>
      <c r="F151" s="95"/>
    </row>
    <row r="152" spans="1:6" x14ac:dyDescent="0.3">
      <c r="A152" s="90"/>
      <c r="C152" s="1121"/>
      <c r="D152" s="1121"/>
      <c r="E152" s="1121"/>
      <c r="F152" s="1121"/>
    </row>
    <row r="153" spans="1:6" x14ac:dyDescent="0.3">
      <c r="A153" s="90"/>
      <c r="C153" s="95"/>
      <c r="D153" s="95" t="str">
        <f ca="1">' '!$A$363</f>
        <v>Berechnung</v>
      </c>
      <c r="E153" s="95"/>
      <c r="F153" s="95"/>
    </row>
    <row r="154" spans="1:6" x14ac:dyDescent="0.3">
      <c r="A154" s="90"/>
      <c r="C154" s="1121"/>
      <c r="D154" s="1121"/>
      <c r="E154" s="1121" t="s">
        <v>695</v>
      </c>
      <c r="F154" s="1121"/>
    </row>
    <row r="155" spans="1:6" x14ac:dyDescent="0.3">
      <c r="A155" s="90"/>
      <c r="C155" s="95"/>
      <c r="D155" s="96" t="str">
        <f ca="1">' '!$A$365</f>
        <v>Quelle</v>
      </c>
      <c r="E155" s="95" t="str">
        <f ca="1">' '!$A$366</f>
        <v>Erhebungszeitpunkt &amp; Branchenvergleich</v>
      </c>
      <c r="F155" s="95"/>
    </row>
    <row r="156" spans="1:6" x14ac:dyDescent="0.3">
      <c r="A156" s="90"/>
      <c r="C156" s="1122"/>
      <c r="D156" s="1123"/>
      <c r="E156" s="1122"/>
      <c r="F156" s="1123"/>
    </row>
    <row r="157" spans="1:6" x14ac:dyDescent="0.3">
      <c r="A157" s="90"/>
      <c r="C157" s="1122"/>
      <c r="D157" s="1123"/>
      <c r="E157" s="1122"/>
      <c r="F157" s="1123"/>
    </row>
    <row r="158" spans="1:6" x14ac:dyDescent="0.3">
      <c r="A158" s="90"/>
      <c r="C158" s="1122"/>
      <c r="D158" s="1123"/>
      <c r="E158" s="1122"/>
      <c r="F158" s="1123"/>
    </row>
    <row r="159" spans="1:6" x14ac:dyDescent="0.3">
      <c r="A159" s="90"/>
      <c r="C159" s="95"/>
      <c r="D159" s="95"/>
      <c r="E159" s="95"/>
      <c r="F159" s="95"/>
    </row>
    <row r="160" spans="1:6" ht="15.6" x14ac:dyDescent="0.3">
      <c r="A160" s="90"/>
      <c r="D160" s="91"/>
    </row>
    <row r="161" spans="1:6" ht="24" customHeight="1" x14ac:dyDescent="0.3">
      <c r="A161" s="90"/>
      <c r="C161" s="92" t="s">
        <v>1912</v>
      </c>
      <c r="D161" s="93">
        <f>__s14</f>
        <v>0</v>
      </c>
      <c r="E161" s="94"/>
      <c r="F161" s="94"/>
    </row>
    <row r="162" spans="1:6" x14ac:dyDescent="0.3">
      <c r="A162" s="90"/>
    </row>
    <row r="163" spans="1:6" x14ac:dyDescent="0.3">
      <c r="A163" s="90"/>
      <c r="C163" s="95"/>
      <c r="D163" s="95" t="str">
        <f ca="1">' '!$A$364</f>
        <v>Beschreibung/Bemerkungen</v>
      </c>
      <c r="E163" s="95"/>
      <c r="F163" s="95"/>
    </row>
    <row r="164" spans="1:6" x14ac:dyDescent="0.3">
      <c r="A164" s="90"/>
      <c r="C164" s="1121"/>
      <c r="D164" s="1121"/>
      <c r="E164" s="1121"/>
      <c r="F164" s="1121"/>
    </row>
    <row r="165" spans="1:6" x14ac:dyDescent="0.3">
      <c r="A165" s="90"/>
      <c r="C165" s="95"/>
      <c r="D165" s="95" t="str">
        <f ca="1">' '!$A$363</f>
        <v>Berechnung</v>
      </c>
      <c r="E165" s="95"/>
      <c r="F165" s="95"/>
    </row>
    <row r="166" spans="1:6" x14ac:dyDescent="0.3">
      <c r="A166" s="90"/>
      <c r="C166" s="1121"/>
      <c r="D166" s="1121"/>
      <c r="E166" s="1121" t="s">
        <v>695</v>
      </c>
      <c r="F166" s="1121"/>
    </row>
    <row r="167" spans="1:6" x14ac:dyDescent="0.3">
      <c r="A167" s="90"/>
      <c r="C167" s="95"/>
      <c r="D167" s="96" t="str">
        <f ca="1">' '!$A$365</f>
        <v>Quelle</v>
      </c>
      <c r="E167" s="95" t="str">
        <f ca="1">' '!$A$366</f>
        <v>Erhebungszeitpunkt &amp; Branchenvergleich</v>
      </c>
      <c r="F167" s="95"/>
    </row>
    <row r="168" spans="1:6" x14ac:dyDescent="0.3">
      <c r="A168" s="90"/>
      <c r="C168" s="1122"/>
      <c r="D168" s="1123"/>
      <c r="E168" s="1122"/>
      <c r="F168" s="1123"/>
    </row>
    <row r="169" spans="1:6" x14ac:dyDescent="0.3">
      <c r="A169" s="90"/>
      <c r="C169" s="1122"/>
      <c r="D169" s="1123"/>
      <c r="E169" s="1122"/>
      <c r="F169" s="1123"/>
    </row>
    <row r="170" spans="1:6" x14ac:dyDescent="0.3">
      <c r="A170" s="90"/>
      <c r="C170" s="1122"/>
      <c r="D170" s="1123"/>
      <c r="E170" s="1122"/>
      <c r="F170" s="1123"/>
    </row>
    <row r="171" spans="1:6" x14ac:dyDescent="0.3">
      <c r="A171" s="90"/>
      <c r="C171" s="95"/>
      <c r="D171" s="95"/>
      <c r="E171" s="95"/>
      <c r="F171" s="95"/>
    </row>
    <row r="172" spans="1:6" ht="15.6" x14ac:dyDescent="0.3">
      <c r="A172" s="90"/>
      <c r="D172" s="91"/>
    </row>
    <row r="173" spans="1:6" ht="24" customHeight="1" x14ac:dyDescent="0.3">
      <c r="A173" s="90"/>
      <c r="C173" s="92" t="s">
        <v>1913</v>
      </c>
      <c r="D173" s="93">
        <f>__s15</f>
        <v>0</v>
      </c>
      <c r="E173" s="94"/>
      <c r="F173" s="94"/>
    </row>
    <row r="174" spans="1:6" x14ac:dyDescent="0.3">
      <c r="A174" s="90"/>
    </row>
    <row r="175" spans="1:6" x14ac:dyDescent="0.3">
      <c r="A175" s="90"/>
      <c r="C175" s="95"/>
      <c r="D175" s="95" t="str">
        <f ca="1">' '!$A$364</f>
        <v>Beschreibung/Bemerkungen</v>
      </c>
      <c r="E175" s="95"/>
      <c r="F175" s="95"/>
    </row>
    <row r="176" spans="1:6" x14ac:dyDescent="0.3">
      <c r="A176" s="90"/>
      <c r="C176" s="1121"/>
      <c r="D176" s="1121"/>
      <c r="E176" s="1121"/>
      <c r="F176" s="1121"/>
    </row>
    <row r="177" spans="1:6" x14ac:dyDescent="0.3">
      <c r="A177" s="90"/>
      <c r="C177" s="95"/>
      <c r="D177" s="95" t="str">
        <f ca="1">' '!$A$363</f>
        <v>Berechnung</v>
      </c>
      <c r="E177" s="95"/>
      <c r="F177" s="95"/>
    </row>
    <row r="178" spans="1:6" x14ac:dyDescent="0.3">
      <c r="A178" s="90"/>
      <c r="C178" s="1121"/>
      <c r="D178" s="1121"/>
      <c r="E178" s="1121" t="s">
        <v>695</v>
      </c>
      <c r="F178" s="1121"/>
    </row>
    <row r="179" spans="1:6" x14ac:dyDescent="0.3">
      <c r="A179" s="90"/>
      <c r="C179" s="95"/>
      <c r="D179" s="96" t="str">
        <f ca="1">' '!$A$365</f>
        <v>Quelle</v>
      </c>
      <c r="E179" s="95" t="str">
        <f ca="1">' '!$A$366</f>
        <v>Erhebungszeitpunkt &amp; Branchenvergleich</v>
      </c>
      <c r="F179" s="95"/>
    </row>
    <row r="180" spans="1:6" x14ac:dyDescent="0.3">
      <c r="A180" s="90"/>
      <c r="C180" s="1122"/>
      <c r="D180" s="1123"/>
      <c r="E180" s="1122"/>
      <c r="F180" s="1123"/>
    </row>
    <row r="181" spans="1:6" x14ac:dyDescent="0.3">
      <c r="A181" s="90"/>
      <c r="C181" s="1122"/>
      <c r="D181" s="1123"/>
      <c r="E181" s="1122"/>
      <c r="F181" s="1123"/>
    </row>
    <row r="182" spans="1:6" x14ac:dyDescent="0.3">
      <c r="A182" s="90"/>
      <c r="C182" s="1122"/>
      <c r="D182" s="1123"/>
      <c r="E182" s="1122"/>
      <c r="F182" s="1123"/>
    </row>
    <row r="183" spans="1:6" x14ac:dyDescent="0.3">
      <c r="A183" s="90"/>
      <c r="C183" s="95"/>
      <c r="D183" s="95"/>
      <c r="E183" s="95"/>
      <c r="F183" s="95"/>
    </row>
    <row r="184" spans="1:6" ht="15.6" x14ac:dyDescent="0.3">
      <c r="A184" s="90"/>
      <c r="D184" s="91"/>
    </row>
    <row r="185" spans="1:6" ht="24" customHeight="1" x14ac:dyDescent="0.3">
      <c r="A185" s="90"/>
      <c r="C185" s="92" t="s">
        <v>1914</v>
      </c>
      <c r="D185" s="93">
        <f>__s16</f>
        <v>0</v>
      </c>
      <c r="E185" s="94"/>
      <c r="F185" s="94"/>
    </row>
    <row r="186" spans="1:6" x14ac:dyDescent="0.3">
      <c r="A186" s="90"/>
    </row>
    <row r="187" spans="1:6" x14ac:dyDescent="0.3">
      <c r="A187" s="90"/>
      <c r="C187" s="95"/>
      <c r="D187" s="95" t="str">
        <f ca="1">' '!$A$364</f>
        <v>Beschreibung/Bemerkungen</v>
      </c>
      <c r="E187" s="95"/>
      <c r="F187" s="95"/>
    </row>
    <row r="188" spans="1:6" x14ac:dyDescent="0.3">
      <c r="A188" s="90"/>
      <c r="C188" s="1121"/>
      <c r="D188" s="1121"/>
      <c r="E188" s="1121"/>
      <c r="F188" s="1121"/>
    </row>
    <row r="189" spans="1:6" x14ac:dyDescent="0.3">
      <c r="A189" s="90"/>
      <c r="C189" s="95"/>
      <c r="D189" s="95" t="str">
        <f ca="1">' '!$A$363</f>
        <v>Berechnung</v>
      </c>
      <c r="E189" s="95"/>
      <c r="F189" s="95"/>
    </row>
    <row r="190" spans="1:6" x14ac:dyDescent="0.3">
      <c r="A190" s="90"/>
      <c r="C190" s="1121"/>
      <c r="D190" s="1121"/>
      <c r="E190" s="1121" t="s">
        <v>695</v>
      </c>
      <c r="F190" s="1121"/>
    </row>
    <row r="191" spans="1:6" x14ac:dyDescent="0.3">
      <c r="A191" s="90"/>
      <c r="C191" s="95"/>
      <c r="D191" s="96" t="str">
        <f ca="1">' '!$A$365</f>
        <v>Quelle</v>
      </c>
      <c r="E191" s="95" t="str">
        <f ca="1">' '!$A$366</f>
        <v>Erhebungszeitpunkt &amp; Branchenvergleich</v>
      </c>
      <c r="F191" s="95"/>
    </row>
    <row r="192" spans="1:6" x14ac:dyDescent="0.3">
      <c r="A192" s="90"/>
      <c r="C192" s="1122"/>
      <c r="D192" s="1123"/>
      <c r="E192" s="1122"/>
      <c r="F192" s="1123"/>
    </row>
    <row r="193" spans="1:6" x14ac:dyDescent="0.3">
      <c r="A193" s="90"/>
      <c r="C193" s="1122"/>
      <c r="D193" s="1123"/>
      <c r="E193" s="1122"/>
      <c r="F193" s="1123"/>
    </row>
    <row r="194" spans="1:6" x14ac:dyDescent="0.3">
      <c r="A194" s="90"/>
      <c r="C194" s="1122"/>
      <c r="D194" s="1123"/>
      <c r="E194" s="1122"/>
      <c r="F194" s="1123"/>
    </row>
    <row r="195" spans="1:6" x14ac:dyDescent="0.3">
      <c r="A195" s="90"/>
      <c r="C195" s="95"/>
      <c r="D195" s="95"/>
      <c r="E195" s="95"/>
      <c r="F195" s="95"/>
    </row>
    <row r="196" spans="1:6" ht="15.6" x14ac:dyDescent="0.3">
      <c r="A196" s="90"/>
      <c r="D196" s="91"/>
    </row>
    <row r="197" spans="1:6" ht="24" customHeight="1" x14ac:dyDescent="0.3">
      <c r="A197" s="90"/>
      <c r="C197" s="92" t="s">
        <v>1915</v>
      </c>
      <c r="D197" s="93">
        <f>__s17</f>
        <v>0</v>
      </c>
      <c r="E197" s="94"/>
      <c r="F197" s="94"/>
    </row>
    <row r="198" spans="1:6" x14ac:dyDescent="0.3">
      <c r="A198" s="90"/>
    </row>
    <row r="199" spans="1:6" x14ac:dyDescent="0.3">
      <c r="A199" s="90"/>
      <c r="C199" s="95"/>
      <c r="D199" s="95" t="str">
        <f ca="1">' '!$A$364</f>
        <v>Beschreibung/Bemerkungen</v>
      </c>
      <c r="E199" s="95"/>
      <c r="F199" s="95"/>
    </row>
    <row r="200" spans="1:6" x14ac:dyDescent="0.3">
      <c r="A200" s="90"/>
      <c r="C200" s="1121"/>
      <c r="D200" s="1121"/>
      <c r="E200" s="1121"/>
      <c r="F200" s="1121"/>
    </row>
    <row r="201" spans="1:6" x14ac:dyDescent="0.3">
      <c r="A201" s="90"/>
      <c r="C201" s="95"/>
      <c r="D201" s="95" t="str">
        <f ca="1">' '!$A$363</f>
        <v>Berechnung</v>
      </c>
      <c r="E201" s="95"/>
      <c r="F201" s="95"/>
    </row>
    <row r="202" spans="1:6" x14ac:dyDescent="0.3">
      <c r="A202" s="90"/>
      <c r="C202" s="1121"/>
      <c r="D202" s="1121"/>
      <c r="E202" s="1121" t="s">
        <v>695</v>
      </c>
      <c r="F202" s="1121"/>
    </row>
    <row r="203" spans="1:6" x14ac:dyDescent="0.3">
      <c r="A203" s="90"/>
      <c r="C203" s="95"/>
      <c r="D203" s="96" t="str">
        <f ca="1">' '!$A$365</f>
        <v>Quelle</v>
      </c>
      <c r="E203" s="95" t="str">
        <f ca="1">' '!$A$366</f>
        <v>Erhebungszeitpunkt &amp; Branchenvergleich</v>
      </c>
      <c r="F203" s="95"/>
    </row>
    <row r="204" spans="1:6" x14ac:dyDescent="0.3">
      <c r="A204" s="90"/>
      <c r="C204" s="1122"/>
      <c r="D204" s="1123"/>
      <c r="E204" s="1122"/>
      <c r="F204" s="1123"/>
    </row>
    <row r="205" spans="1:6" x14ac:dyDescent="0.3">
      <c r="A205" s="90"/>
      <c r="C205" s="1122"/>
      <c r="D205" s="1123"/>
      <c r="E205" s="1122"/>
      <c r="F205" s="1123"/>
    </row>
    <row r="206" spans="1:6" x14ac:dyDescent="0.3">
      <c r="A206" s="90"/>
      <c r="C206" s="1122"/>
      <c r="D206" s="1123"/>
      <c r="E206" s="1122"/>
      <c r="F206" s="1123"/>
    </row>
    <row r="207" spans="1:6" x14ac:dyDescent="0.3">
      <c r="A207" s="90"/>
      <c r="C207" s="95"/>
      <c r="D207" s="95"/>
      <c r="E207" s="95"/>
      <c r="F207" s="95"/>
    </row>
    <row r="208" spans="1:6" ht="15.6" x14ac:dyDescent="0.3">
      <c r="A208" s="90"/>
      <c r="D208" s="91"/>
    </row>
    <row r="209" spans="1:6" ht="24" customHeight="1" x14ac:dyDescent="0.3">
      <c r="A209" s="90"/>
      <c r="C209" s="92" t="s">
        <v>1916</v>
      </c>
      <c r="D209" s="93">
        <f>__s18</f>
        <v>0</v>
      </c>
      <c r="E209" s="94"/>
      <c r="F209" s="94"/>
    </row>
    <row r="210" spans="1:6" x14ac:dyDescent="0.3">
      <c r="A210" s="90"/>
    </row>
    <row r="211" spans="1:6" x14ac:dyDescent="0.3">
      <c r="A211" s="90"/>
      <c r="C211" s="95"/>
      <c r="D211" s="95" t="str">
        <f ca="1">' '!$A$364</f>
        <v>Beschreibung/Bemerkungen</v>
      </c>
      <c r="E211" s="95"/>
      <c r="F211" s="95"/>
    </row>
    <row r="212" spans="1:6" x14ac:dyDescent="0.3">
      <c r="A212" s="90"/>
      <c r="C212" s="1121"/>
      <c r="D212" s="1121"/>
      <c r="E212" s="1121"/>
      <c r="F212" s="1121"/>
    </row>
    <row r="213" spans="1:6" x14ac:dyDescent="0.3">
      <c r="A213" s="90"/>
      <c r="C213" s="95"/>
      <c r="D213" s="95" t="str">
        <f ca="1">' '!$A$363</f>
        <v>Berechnung</v>
      </c>
      <c r="E213" s="95"/>
      <c r="F213" s="95"/>
    </row>
    <row r="214" spans="1:6" x14ac:dyDescent="0.3">
      <c r="A214" s="90"/>
      <c r="C214" s="1121"/>
      <c r="D214" s="1121"/>
      <c r="E214" s="1121" t="s">
        <v>695</v>
      </c>
      <c r="F214" s="1121"/>
    </row>
    <row r="215" spans="1:6" x14ac:dyDescent="0.3">
      <c r="A215" s="90"/>
      <c r="C215" s="95"/>
      <c r="D215" s="96" t="str">
        <f ca="1">' '!$A$365</f>
        <v>Quelle</v>
      </c>
      <c r="E215" s="95" t="str">
        <f ca="1">' '!$A$366</f>
        <v>Erhebungszeitpunkt &amp; Branchenvergleich</v>
      </c>
      <c r="F215" s="95"/>
    </row>
    <row r="216" spans="1:6" x14ac:dyDescent="0.3">
      <c r="A216" s="90"/>
      <c r="C216" s="1122"/>
      <c r="D216" s="1123"/>
      <c r="E216" s="1122"/>
      <c r="F216" s="1123"/>
    </row>
    <row r="217" spans="1:6" x14ac:dyDescent="0.3">
      <c r="A217" s="90"/>
      <c r="C217" s="1122"/>
      <c r="D217" s="1123"/>
      <c r="E217" s="1122"/>
      <c r="F217" s="1123"/>
    </row>
    <row r="218" spans="1:6" x14ac:dyDescent="0.3">
      <c r="A218" s="90"/>
      <c r="C218" s="1122"/>
      <c r="D218" s="1123"/>
      <c r="E218" s="1122"/>
      <c r="F218" s="1123"/>
    </row>
    <row r="219" spans="1:6" x14ac:dyDescent="0.3">
      <c r="A219" s="90"/>
      <c r="C219" s="95"/>
      <c r="D219" s="95"/>
      <c r="E219" s="95"/>
      <c r="F219" s="95"/>
    </row>
    <row r="220" spans="1:6" ht="15.6" x14ac:dyDescent="0.3">
      <c r="A220" s="90"/>
      <c r="D220" s="91"/>
    </row>
    <row r="221" spans="1:6" ht="24" customHeight="1" x14ac:dyDescent="0.3">
      <c r="A221" s="90"/>
      <c r="C221" s="92" t="s">
        <v>1917</v>
      </c>
      <c r="D221" s="93">
        <f>__s19</f>
        <v>0</v>
      </c>
      <c r="E221" s="94"/>
      <c r="F221" s="94"/>
    </row>
    <row r="222" spans="1:6" x14ac:dyDescent="0.3">
      <c r="A222" s="90"/>
    </row>
    <row r="223" spans="1:6" x14ac:dyDescent="0.3">
      <c r="A223" s="90"/>
      <c r="C223" s="95"/>
      <c r="D223" s="95" t="str">
        <f ca="1">' '!$A$364</f>
        <v>Beschreibung/Bemerkungen</v>
      </c>
      <c r="E223" s="95"/>
      <c r="F223" s="95"/>
    </row>
    <row r="224" spans="1:6" x14ac:dyDescent="0.3">
      <c r="A224" s="90"/>
      <c r="C224" s="1121"/>
      <c r="D224" s="1121"/>
      <c r="E224" s="1121"/>
      <c r="F224" s="1121"/>
    </row>
    <row r="225" spans="1:6" x14ac:dyDescent="0.3">
      <c r="A225" s="90"/>
      <c r="C225" s="95"/>
      <c r="D225" s="95" t="str">
        <f ca="1">' '!$A$363</f>
        <v>Berechnung</v>
      </c>
      <c r="E225" s="95"/>
      <c r="F225" s="95"/>
    </row>
    <row r="226" spans="1:6" x14ac:dyDescent="0.3">
      <c r="A226" s="90"/>
      <c r="C226" s="1121"/>
      <c r="D226" s="1121"/>
      <c r="E226" s="1121" t="s">
        <v>695</v>
      </c>
      <c r="F226" s="1121"/>
    </row>
    <row r="227" spans="1:6" x14ac:dyDescent="0.3">
      <c r="A227" s="90"/>
      <c r="C227" s="95"/>
      <c r="D227" s="96" t="str">
        <f ca="1">' '!$A$365</f>
        <v>Quelle</v>
      </c>
      <c r="E227" s="95" t="str">
        <f ca="1">' '!$A$366</f>
        <v>Erhebungszeitpunkt &amp; Branchenvergleich</v>
      </c>
      <c r="F227" s="95"/>
    </row>
    <row r="228" spans="1:6" x14ac:dyDescent="0.3">
      <c r="A228" s="90"/>
      <c r="C228" s="1122"/>
      <c r="D228" s="1123"/>
      <c r="E228" s="1122"/>
      <c r="F228" s="1123"/>
    </row>
    <row r="229" spans="1:6" x14ac:dyDescent="0.3">
      <c r="A229" s="90"/>
      <c r="C229" s="1122"/>
      <c r="D229" s="1123"/>
      <c r="E229" s="1122"/>
      <c r="F229" s="1123"/>
    </row>
    <row r="230" spans="1:6" x14ac:dyDescent="0.3">
      <c r="A230" s="90"/>
      <c r="C230" s="1122"/>
      <c r="D230" s="1123"/>
      <c r="E230" s="1122"/>
      <c r="F230" s="1123"/>
    </row>
    <row r="231" spans="1:6" x14ac:dyDescent="0.3">
      <c r="A231" s="90"/>
      <c r="C231" s="95"/>
      <c r="D231" s="95"/>
      <c r="E231" s="95"/>
      <c r="F231" s="95"/>
    </row>
    <row r="232" spans="1:6" ht="15.6" x14ac:dyDescent="0.3">
      <c r="A232" s="90"/>
      <c r="D232" s="91"/>
    </row>
    <row r="233" spans="1:6" ht="24" customHeight="1" x14ac:dyDescent="0.3">
      <c r="A233" s="90"/>
      <c r="C233" s="92" t="s">
        <v>1918</v>
      </c>
      <c r="D233" s="93">
        <f>__s20</f>
        <v>0</v>
      </c>
      <c r="E233" s="94"/>
      <c r="F233" s="94"/>
    </row>
    <row r="234" spans="1:6" x14ac:dyDescent="0.3">
      <c r="A234" s="90"/>
    </row>
    <row r="235" spans="1:6" x14ac:dyDescent="0.3">
      <c r="A235" s="90"/>
      <c r="C235" s="95"/>
      <c r="D235" s="95" t="str">
        <f ca="1">' '!$A$364</f>
        <v>Beschreibung/Bemerkungen</v>
      </c>
      <c r="E235" s="95"/>
      <c r="F235" s="95"/>
    </row>
    <row r="236" spans="1:6" x14ac:dyDescent="0.3">
      <c r="A236" s="90"/>
      <c r="C236" s="1121"/>
      <c r="D236" s="1121"/>
      <c r="E236" s="1121"/>
      <c r="F236" s="1121"/>
    </row>
    <row r="237" spans="1:6" x14ac:dyDescent="0.3">
      <c r="A237" s="90"/>
      <c r="C237" s="95"/>
      <c r="D237" s="95" t="str">
        <f ca="1">' '!$A$363</f>
        <v>Berechnung</v>
      </c>
      <c r="E237" s="95"/>
      <c r="F237" s="95"/>
    </row>
    <row r="238" spans="1:6" x14ac:dyDescent="0.3">
      <c r="A238" s="90"/>
      <c r="C238" s="1121"/>
      <c r="D238" s="1121"/>
      <c r="E238" s="1121" t="s">
        <v>695</v>
      </c>
      <c r="F238" s="1121"/>
    </row>
    <row r="239" spans="1:6" x14ac:dyDescent="0.3">
      <c r="A239" s="90"/>
      <c r="C239" s="95"/>
      <c r="D239" s="96" t="str">
        <f ca="1">' '!$A$365</f>
        <v>Quelle</v>
      </c>
      <c r="E239" s="95" t="str">
        <f ca="1">' '!$A$366</f>
        <v>Erhebungszeitpunkt &amp; Branchenvergleich</v>
      </c>
      <c r="F239" s="95"/>
    </row>
    <row r="240" spans="1:6" x14ac:dyDescent="0.3">
      <c r="A240" s="90"/>
      <c r="C240" s="1122"/>
      <c r="D240" s="1123"/>
      <c r="E240" s="1122"/>
      <c r="F240" s="1123"/>
    </row>
    <row r="241" spans="1:6" x14ac:dyDescent="0.3">
      <c r="A241" s="90"/>
      <c r="C241" s="1122"/>
      <c r="D241" s="1123"/>
      <c r="E241" s="1122"/>
      <c r="F241" s="1123"/>
    </row>
    <row r="242" spans="1:6" x14ac:dyDescent="0.3">
      <c r="A242" s="90"/>
      <c r="C242" s="1122"/>
      <c r="D242" s="1123"/>
      <c r="E242" s="1122"/>
      <c r="F242" s="1123"/>
    </row>
    <row r="243" spans="1:6" x14ac:dyDescent="0.3">
      <c r="A243" s="90"/>
      <c r="C243" s="95"/>
      <c r="D243" s="95"/>
      <c r="E243" s="95"/>
      <c r="F243" s="95"/>
    </row>
    <row r="244" spans="1:6" ht="15.6" x14ac:dyDescent="0.3">
      <c r="A244" s="90"/>
      <c r="D244" s="91"/>
    </row>
    <row r="245" spans="1:6" ht="24" customHeight="1" x14ac:dyDescent="0.3">
      <c r="A245" s="90"/>
      <c r="C245" s="92" t="s">
        <v>1919</v>
      </c>
      <c r="D245" s="93">
        <f>__s21</f>
        <v>0</v>
      </c>
      <c r="E245" s="94"/>
      <c r="F245" s="94"/>
    </row>
    <row r="246" spans="1:6" x14ac:dyDescent="0.3">
      <c r="A246" s="90"/>
    </row>
    <row r="247" spans="1:6" x14ac:dyDescent="0.3">
      <c r="A247" s="90"/>
      <c r="C247" s="95"/>
      <c r="D247" s="95" t="str">
        <f ca="1">' '!$A$364</f>
        <v>Beschreibung/Bemerkungen</v>
      </c>
      <c r="E247" s="95"/>
      <c r="F247" s="95"/>
    </row>
    <row r="248" spans="1:6" x14ac:dyDescent="0.3">
      <c r="A248" s="90"/>
      <c r="C248" s="1121"/>
      <c r="D248" s="1121"/>
      <c r="E248" s="1121"/>
      <c r="F248" s="1121"/>
    </row>
    <row r="249" spans="1:6" x14ac:dyDescent="0.3">
      <c r="A249" s="90"/>
      <c r="C249" s="95"/>
      <c r="D249" s="95" t="str">
        <f ca="1">' '!$A$363</f>
        <v>Berechnung</v>
      </c>
      <c r="E249" s="95"/>
      <c r="F249" s="95"/>
    </row>
    <row r="250" spans="1:6" x14ac:dyDescent="0.3">
      <c r="A250" s="90"/>
      <c r="C250" s="1121"/>
      <c r="D250" s="1121"/>
      <c r="E250" s="1121" t="s">
        <v>695</v>
      </c>
      <c r="F250" s="1121"/>
    </row>
    <row r="251" spans="1:6" x14ac:dyDescent="0.3">
      <c r="A251" s="90"/>
      <c r="C251" s="95"/>
      <c r="D251" s="96" t="str">
        <f ca="1">' '!$A$365</f>
        <v>Quelle</v>
      </c>
      <c r="E251" s="95" t="str">
        <f ca="1">' '!$A$366</f>
        <v>Erhebungszeitpunkt &amp; Branchenvergleich</v>
      </c>
      <c r="F251" s="95"/>
    </row>
    <row r="252" spans="1:6" x14ac:dyDescent="0.3">
      <c r="A252" s="90"/>
      <c r="C252" s="1122"/>
      <c r="D252" s="1123"/>
      <c r="E252" s="1122"/>
      <c r="F252" s="1123"/>
    </row>
    <row r="253" spans="1:6" x14ac:dyDescent="0.3">
      <c r="A253" s="90"/>
      <c r="C253" s="1122"/>
      <c r="D253" s="1123"/>
      <c r="E253" s="1122"/>
      <c r="F253" s="1123"/>
    </row>
    <row r="254" spans="1:6" x14ac:dyDescent="0.3">
      <c r="A254" s="90"/>
      <c r="C254" s="1122"/>
      <c r="D254" s="1123"/>
      <c r="E254" s="1122"/>
      <c r="F254" s="1123"/>
    </row>
    <row r="255" spans="1:6" x14ac:dyDescent="0.3">
      <c r="A255" s="90"/>
      <c r="C255" s="95"/>
      <c r="D255" s="95"/>
      <c r="E255" s="95"/>
      <c r="F255" s="95"/>
    </row>
    <row r="256" spans="1:6" ht="15.6" x14ac:dyDescent="0.3">
      <c r="A256" s="90"/>
      <c r="D256" s="91"/>
    </row>
    <row r="257" spans="1:6" ht="24" customHeight="1" x14ac:dyDescent="0.3">
      <c r="A257" s="90"/>
      <c r="C257" s="92" t="s">
        <v>1920</v>
      </c>
      <c r="D257" s="93">
        <f>__s22</f>
        <v>0</v>
      </c>
      <c r="E257" s="94"/>
      <c r="F257" s="94"/>
    </row>
    <row r="258" spans="1:6" x14ac:dyDescent="0.3">
      <c r="A258" s="90"/>
    </row>
    <row r="259" spans="1:6" x14ac:dyDescent="0.3">
      <c r="A259" s="90"/>
      <c r="C259" s="95"/>
      <c r="D259" s="95" t="str">
        <f ca="1">' '!$A$364</f>
        <v>Beschreibung/Bemerkungen</v>
      </c>
      <c r="E259" s="95"/>
      <c r="F259" s="95"/>
    </row>
    <row r="260" spans="1:6" x14ac:dyDescent="0.3">
      <c r="A260" s="90"/>
      <c r="C260" s="1121"/>
      <c r="D260" s="1121"/>
      <c r="E260" s="1121"/>
      <c r="F260" s="1121"/>
    </row>
    <row r="261" spans="1:6" x14ac:dyDescent="0.3">
      <c r="A261" s="90"/>
      <c r="C261" s="95"/>
      <c r="D261" s="95" t="str">
        <f ca="1">' '!$A$363</f>
        <v>Berechnung</v>
      </c>
      <c r="E261" s="95"/>
      <c r="F261" s="95"/>
    </row>
    <row r="262" spans="1:6" x14ac:dyDescent="0.3">
      <c r="A262" s="90"/>
      <c r="C262" s="1121"/>
      <c r="D262" s="1121"/>
      <c r="E262" s="1121" t="s">
        <v>695</v>
      </c>
      <c r="F262" s="1121"/>
    </row>
    <row r="263" spans="1:6" x14ac:dyDescent="0.3">
      <c r="A263" s="90"/>
      <c r="C263" s="95"/>
      <c r="D263" s="96" t="str">
        <f ca="1">' '!$A$365</f>
        <v>Quelle</v>
      </c>
      <c r="E263" s="95" t="str">
        <f ca="1">' '!$A$366</f>
        <v>Erhebungszeitpunkt &amp; Branchenvergleich</v>
      </c>
      <c r="F263" s="95"/>
    </row>
    <row r="264" spans="1:6" x14ac:dyDescent="0.3">
      <c r="A264" s="90"/>
      <c r="C264" s="1122"/>
      <c r="D264" s="1123"/>
      <c r="E264" s="1122"/>
      <c r="F264" s="1123"/>
    </row>
    <row r="265" spans="1:6" x14ac:dyDescent="0.3">
      <c r="A265" s="90"/>
      <c r="C265" s="1122"/>
      <c r="D265" s="1123"/>
      <c r="E265" s="1122"/>
      <c r="F265" s="1123"/>
    </row>
    <row r="266" spans="1:6" x14ac:dyDescent="0.3">
      <c r="A266" s="90"/>
      <c r="C266" s="1122"/>
      <c r="D266" s="1123"/>
      <c r="E266" s="1122"/>
      <c r="F266" s="1123"/>
    </row>
    <row r="267" spans="1:6" x14ac:dyDescent="0.3">
      <c r="A267" s="90"/>
      <c r="C267" s="95"/>
      <c r="D267" s="95"/>
      <c r="E267" s="95"/>
      <c r="F267" s="95"/>
    </row>
    <row r="268" spans="1:6" ht="15.6" x14ac:dyDescent="0.3">
      <c r="A268" s="90"/>
      <c r="D268" s="91"/>
    </row>
    <row r="269" spans="1:6" ht="24" customHeight="1" x14ac:dyDescent="0.3">
      <c r="A269" s="90"/>
      <c r="C269" s="92" t="s">
        <v>1921</v>
      </c>
      <c r="D269" s="93">
        <f>__s23</f>
        <v>0</v>
      </c>
      <c r="E269" s="94"/>
      <c r="F269" s="94"/>
    </row>
    <row r="270" spans="1:6" x14ac:dyDescent="0.3">
      <c r="A270" s="90"/>
    </row>
    <row r="271" spans="1:6" x14ac:dyDescent="0.3">
      <c r="A271" s="90"/>
      <c r="C271" s="95"/>
      <c r="D271" s="95" t="str">
        <f ca="1">' '!$A$364</f>
        <v>Beschreibung/Bemerkungen</v>
      </c>
      <c r="E271" s="95"/>
      <c r="F271" s="95"/>
    </row>
    <row r="272" spans="1:6" x14ac:dyDescent="0.3">
      <c r="A272" s="90"/>
      <c r="C272" s="1121"/>
      <c r="D272" s="1121"/>
      <c r="E272" s="1121"/>
      <c r="F272" s="1121"/>
    </row>
    <row r="273" spans="1:6" x14ac:dyDescent="0.3">
      <c r="A273" s="90"/>
      <c r="C273" s="95"/>
      <c r="D273" s="95" t="str">
        <f ca="1">' '!$A$363</f>
        <v>Berechnung</v>
      </c>
      <c r="E273" s="95"/>
      <c r="F273" s="95"/>
    </row>
    <row r="274" spans="1:6" x14ac:dyDescent="0.3">
      <c r="A274" s="90"/>
      <c r="C274" s="1121"/>
      <c r="D274" s="1121"/>
      <c r="E274" s="1121" t="s">
        <v>695</v>
      </c>
      <c r="F274" s="1121"/>
    </row>
    <row r="275" spans="1:6" x14ac:dyDescent="0.3">
      <c r="A275" s="90"/>
      <c r="C275" s="95"/>
      <c r="D275" s="96" t="str">
        <f ca="1">' '!$A$365</f>
        <v>Quelle</v>
      </c>
      <c r="E275" s="95" t="str">
        <f ca="1">' '!$A$366</f>
        <v>Erhebungszeitpunkt &amp; Branchenvergleich</v>
      </c>
      <c r="F275" s="95"/>
    </row>
    <row r="276" spans="1:6" x14ac:dyDescent="0.3">
      <c r="A276" s="90"/>
      <c r="C276" s="1122"/>
      <c r="D276" s="1123"/>
      <c r="E276" s="1122"/>
      <c r="F276" s="1123"/>
    </row>
    <row r="277" spans="1:6" x14ac:dyDescent="0.3">
      <c r="A277" s="90"/>
      <c r="C277" s="1122"/>
      <c r="D277" s="1123"/>
      <c r="E277" s="1122"/>
      <c r="F277" s="1123"/>
    </row>
    <row r="278" spans="1:6" x14ac:dyDescent="0.3">
      <c r="A278" s="90"/>
      <c r="C278" s="1122"/>
      <c r="D278" s="1123"/>
      <c r="E278" s="1122"/>
      <c r="F278" s="1123"/>
    </row>
    <row r="279" spans="1:6" x14ac:dyDescent="0.3">
      <c r="A279" s="90"/>
      <c r="C279" s="95"/>
      <c r="D279" s="95"/>
      <c r="E279" s="95"/>
      <c r="F279" s="95"/>
    </row>
    <row r="280" spans="1:6" ht="15.6" x14ac:dyDescent="0.3">
      <c r="A280" s="90"/>
      <c r="D280" s="91"/>
    </row>
    <row r="281" spans="1:6" ht="24" customHeight="1" x14ac:dyDescent="0.3">
      <c r="A281" s="90"/>
      <c r="C281" s="92" t="s">
        <v>1922</v>
      </c>
      <c r="D281" s="93">
        <f>__s24</f>
        <v>0</v>
      </c>
      <c r="E281" s="94"/>
      <c r="F281" s="94"/>
    </row>
    <row r="282" spans="1:6" x14ac:dyDescent="0.3">
      <c r="A282" s="90"/>
    </row>
    <row r="283" spans="1:6" x14ac:dyDescent="0.3">
      <c r="A283" s="90"/>
      <c r="C283" s="95"/>
      <c r="D283" s="95" t="str">
        <f ca="1">' '!$A$364</f>
        <v>Beschreibung/Bemerkungen</v>
      </c>
      <c r="E283" s="95"/>
      <c r="F283" s="95"/>
    </row>
    <row r="284" spans="1:6" x14ac:dyDescent="0.3">
      <c r="A284" s="90"/>
      <c r="C284" s="1121"/>
      <c r="D284" s="1121"/>
      <c r="E284" s="1121"/>
      <c r="F284" s="1121"/>
    </row>
    <row r="285" spans="1:6" x14ac:dyDescent="0.3">
      <c r="A285" s="90"/>
      <c r="C285" s="95"/>
      <c r="D285" s="95" t="str">
        <f ca="1">' '!$A$363</f>
        <v>Berechnung</v>
      </c>
      <c r="E285" s="95"/>
      <c r="F285" s="95"/>
    </row>
    <row r="286" spans="1:6" x14ac:dyDescent="0.3">
      <c r="A286" s="90"/>
      <c r="C286" s="1121"/>
      <c r="D286" s="1121"/>
      <c r="E286" s="1121" t="s">
        <v>695</v>
      </c>
      <c r="F286" s="1121"/>
    </row>
    <row r="287" spans="1:6" x14ac:dyDescent="0.3">
      <c r="A287" s="90"/>
      <c r="C287" s="95"/>
      <c r="D287" s="96" t="str">
        <f ca="1">' '!$A$365</f>
        <v>Quelle</v>
      </c>
      <c r="E287" s="95" t="str">
        <f ca="1">' '!$A$366</f>
        <v>Erhebungszeitpunkt &amp; Branchenvergleich</v>
      </c>
      <c r="F287" s="95"/>
    </row>
    <row r="288" spans="1:6" x14ac:dyDescent="0.3">
      <c r="A288" s="90"/>
      <c r="C288" s="1122"/>
      <c r="D288" s="1123"/>
      <c r="E288" s="1122"/>
      <c r="F288" s="1123"/>
    </row>
    <row r="289" spans="1:6" x14ac:dyDescent="0.3">
      <c r="A289" s="90"/>
      <c r="C289" s="1122"/>
      <c r="D289" s="1123"/>
      <c r="E289" s="1122"/>
      <c r="F289" s="1123"/>
    </row>
    <row r="290" spans="1:6" x14ac:dyDescent="0.3">
      <c r="A290" s="90"/>
      <c r="C290" s="1122"/>
      <c r="D290" s="1123"/>
      <c r="E290" s="1122"/>
      <c r="F290" s="1123"/>
    </row>
    <row r="291" spans="1:6" x14ac:dyDescent="0.3">
      <c r="A291" s="90"/>
      <c r="C291" s="95"/>
      <c r="D291" s="95"/>
      <c r="E291" s="95"/>
      <c r="F291" s="95"/>
    </row>
    <row r="292" spans="1:6" ht="15.6" x14ac:dyDescent="0.3">
      <c r="A292" s="90"/>
      <c r="D292" s="91"/>
    </row>
    <row r="293" spans="1:6" ht="24" customHeight="1" x14ac:dyDescent="0.3">
      <c r="A293" s="90"/>
      <c r="C293" s="92" t="s">
        <v>1923</v>
      </c>
      <c r="D293" s="93">
        <f>__s25</f>
        <v>0</v>
      </c>
      <c r="E293" s="94"/>
      <c r="F293" s="94"/>
    </row>
    <row r="294" spans="1:6" x14ac:dyDescent="0.3">
      <c r="A294" s="90"/>
    </row>
    <row r="295" spans="1:6" x14ac:dyDescent="0.3">
      <c r="A295" s="90"/>
      <c r="C295" s="95"/>
      <c r="D295" s="95" t="str">
        <f ca="1">' '!$A$364</f>
        <v>Beschreibung/Bemerkungen</v>
      </c>
      <c r="E295" s="95"/>
      <c r="F295" s="95"/>
    </row>
    <row r="296" spans="1:6" x14ac:dyDescent="0.3">
      <c r="A296" s="90"/>
      <c r="C296" s="1121"/>
      <c r="D296" s="1121"/>
      <c r="E296" s="1121"/>
      <c r="F296" s="1121"/>
    </row>
    <row r="297" spans="1:6" x14ac:dyDescent="0.3">
      <c r="A297" s="90"/>
      <c r="C297" s="95"/>
      <c r="D297" s="95" t="str">
        <f ca="1">' '!$A$363</f>
        <v>Berechnung</v>
      </c>
      <c r="E297" s="95"/>
      <c r="F297" s="95"/>
    </row>
    <row r="298" spans="1:6" x14ac:dyDescent="0.3">
      <c r="A298" s="90"/>
      <c r="C298" s="1121"/>
      <c r="D298" s="1121"/>
      <c r="E298" s="1121" t="s">
        <v>695</v>
      </c>
      <c r="F298" s="1121"/>
    </row>
    <row r="299" spans="1:6" x14ac:dyDescent="0.3">
      <c r="A299" s="90"/>
      <c r="C299" s="95"/>
      <c r="D299" s="96" t="str">
        <f ca="1">' '!$A$365</f>
        <v>Quelle</v>
      </c>
      <c r="E299" s="95" t="str">
        <f ca="1">' '!$A$366</f>
        <v>Erhebungszeitpunkt &amp; Branchenvergleich</v>
      </c>
      <c r="F299" s="95"/>
    </row>
    <row r="300" spans="1:6" x14ac:dyDescent="0.3">
      <c r="A300" s="90"/>
      <c r="C300" s="1122"/>
      <c r="D300" s="1123"/>
      <c r="E300" s="1122"/>
      <c r="F300" s="1123"/>
    </row>
    <row r="301" spans="1:6" x14ac:dyDescent="0.3">
      <c r="A301" s="90"/>
      <c r="C301" s="1122"/>
      <c r="D301" s="1123"/>
      <c r="E301" s="1122"/>
      <c r="F301" s="1123"/>
    </row>
    <row r="302" spans="1:6" x14ac:dyDescent="0.3">
      <c r="A302" s="90"/>
      <c r="C302" s="1122"/>
      <c r="D302" s="1123"/>
      <c r="E302" s="1122"/>
      <c r="F302" s="1123"/>
    </row>
    <row r="303" spans="1:6" x14ac:dyDescent="0.3">
      <c r="A303" s="90"/>
      <c r="C303" s="95"/>
      <c r="D303" s="95"/>
      <c r="E303" s="95"/>
      <c r="F303" s="95"/>
    </row>
    <row r="304" spans="1:6" ht="15.6" x14ac:dyDescent="0.3">
      <c r="A304" s="90"/>
      <c r="D304" s="91"/>
    </row>
    <row r="305" spans="1:6" ht="24" customHeight="1" x14ac:dyDescent="0.3">
      <c r="A305" s="90"/>
      <c r="C305" s="92" t="s">
        <v>1924</v>
      </c>
      <c r="D305" s="93">
        <f>__s26</f>
        <v>0</v>
      </c>
      <c r="E305" s="94"/>
      <c r="F305" s="94"/>
    </row>
    <row r="306" spans="1:6" x14ac:dyDescent="0.3">
      <c r="A306" s="90"/>
    </row>
    <row r="307" spans="1:6" x14ac:dyDescent="0.3">
      <c r="A307" s="90"/>
      <c r="C307" s="95"/>
      <c r="D307" s="95" t="str">
        <f ca="1">' '!$A$364</f>
        <v>Beschreibung/Bemerkungen</v>
      </c>
      <c r="E307" s="95"/>
      <c r="F307" s="95"/>
    </row>
    <row r="308" spans="1:6" x14ac:dyDescent="0.3">
      <c r="A308" s="90"/>
      <c r="C308" s="1121"/>
      <c r="D308" s="1121"/>
      <c r="E308" s="1121"/>
      <c r="F308" s="1121"/>
    </row>
    <row r="309" spans="1:6" x14ac:dyDescent="0.3">
      <c r="A309" s="90"/>
      <c r="C309" s="95"/>
      <c r="D309" s="95" t="str">
        <f ca="1">' '!$A$363</f>
        <v>Berechnung</v>
      </c>
      <c r="E309" s="95"/>
      <c r="F309" s="95"/>
    </row>
    <row r="310" spans="1:6" x14ac:dyDescent="0.3">
      <c r="A310" s="90"/>
      <c r="C310" s="1121"/>
      <c r="D310" s="1121"/>
      <c r="E310" s="1121" t="s">
        <v>695</v>
      </c>
      <c r="F310" s="1121"/>
    </row>
    <row r="311" spans="1:6" x14ac:dyDescent="0.3">
      <c r="A311" s="90"/>
      <c r="C311" s="95"/>
      <c r="D311" s="96" t="str">
        <f ca="1">' '!$A$365</f>
        <v>Quelle</v>
      </c>
      <c r="E311" s="95" t="str">
        <f ca="1">' '!$A$366</f>
        <v>Erhebungszeitpunkt &amp; Branchenvergleich</v>
      </c>
      <c r="F311" s="95"/>
    </row>
    <row r="312" spans="1:6" x14ac:dyDescent="0.3">
      <c r="A312" s="90"/>
      <c r="C312" s="1122"/>
      <c r="D312" s="1123"/>
      <c r="E312" s="1122"/>
      <c r="F312" s="1123"/>
    </row>
    <row r="313" spans="1:6" x14ac:dyDescent="0.3">
      <c r="A313" s="90"/>
      <c r="C313" s="1122"/>
      <c r="D313" s="1123"/>
      <c r="E313" s="1122"/>
      <c r="F313" s="1123"/>
    </row>
    <row r="314" spans="1:6" x14ac:dyDescent="0.3">
      <c r="A314" s="90"/>
      <c r="C314" s="1122"/>
      <c r="D314" s="1123"/>
      <c r="E314" s="1122"/>
      <c r="F314" s="1123"/>
    </row>
    <row r="315" spans="1:6" x14ac:dyDescent="0.3">
      <c r="A315" s="90"/>
      <c r="C315" s="95"/>
      <c r="D315" s="95"/>
      <c r="E315" s="95"/>
      <c r="F315" s="95"/>
    </row>
    <row r="316" spans="1:6" ht="15.6" x14ac:dyDescent="0.3">
      <c r="A316" s="90"/>
      <c r="D316" s="91"/>
    </row>
    <row r="317" spans="1:6" ht="24" customHeight="1" x14ac:dyDescent="0.3">
      <c r="A317" s="90"/>
      <c r="C317" s="92" t="s">
        <v>1925</v>
      </c>
      <c r="D317" s="93">
        <f>__s27</f>
        <v>0</v>
      </c>
      <c r="E317" s="94"/>
      <c r="F317" s="94"/>
    </row>
    <row r="318" spans="1:6" x14ac:dyDescent="0.3">
      <c r="A318" s="90"/>
    </row>
    <row r="319" spans="1:6" x14ac:dyDescent="0.3">
      <c r="A319" s="90"/>
      <c r="C319" s="95"/>
      <c r="D319" s="95" t="str">
        <f ca="1">' '!$A$364</f>
        <v>Beschreibung/Bemerkungen</v>
      </c>
      <c r="E319" s="95"/>
      <c r="F319" s="95"/>
    </row>
    <row r="320" spans="1:6" x14ac:dyDescent="0.3">
      <c r="A320" s="90"/>
      <c r="C320" s="1121"/>
      <c r="D320" s="1121"/>
      <c r="E320" s="1121"/>
      <c r="F320" s="1121"/>
    </row>
    <row r="321" spans="1:6" x14ac:dyDescent="0.3">
      <c r="A321" s="90"/>
      <c r="C321" s="95"/>
      <c r="D321" s="95" t="str">
        <f ca="1">' '!$A$363</f>
        <v>Berechnung</v>
      </c>
      <c r="E321" s="95"/>
      <c r="F321" s="95"/>
    </row>
    <row r="322" spans="1:6" x14ac:dyDescent="0.3">
      <c r="A322" s="90"/>
      <c r="C322" s="1121"/>
      <c r="D322" s="1121"/>
      <c r="E322" s="1121" t="s">
        <v>695</v>
      </c>
      <c r="F322" s="1121"/>
    </row>
    <row r="323" spans="1:6" x14ac:dyDescent="0.3">
      <c r="A323" s="90"/>
      <c r="C323" s="95"/>
      <c r="D323" s="96" t="str">
        <f ca="1">' '!$A$365</f>
        <v>Quelle</v>
      </c>
      <c r="E323" s="95" t="str">
        <f ca="1">' '!$A$366</f>
        <v>Erhebungszeitpunkt &amp; Branchenvergleich</v>
      </c>
      <c r="F323" s="95"/>
    </row>
    <row r="324" spans="1:6" x14ac:dyDescent="0.3">
      <c r="A324" s="90"/>
      <c r="C324" s="1122"/>
      <c r="D324" s="1123"/>
      <c r="E324" s="1122"/>
      <c r="F324" s="1123"/>
    </row>
    <row r="325" spans="1:6" x14ac:dyDescent="0.3">
      <c r="A325" s="90"/>
      <c r="C325" s="1122"/>
      <c r="D325" s="1123"/>
      <c r="E325" s="1122"/>
      <c r="F325" s="1123"/>
    </row>
    <row r="326" spans="1:6" x14ac:dyDescent="0.3">
      <c r="A326" s="90"/>
      <c r="C326" s="1122"/>
      <c r="D326" s="1123"/>
      <c r="E326" s="1122"/>
      <c r="F326" s="1123"/>
    </row>
    <row r="327" spans="1:6" x14ac:dyDescent="0.3">
      <c r="A327" s="90"/>
      <c r="C327" s="95"/>
      <c r="D327" s="95"/>
      <c r="E327" s="95"/>
      <c r="F327" s="95"/>
    </row>
    <row r="328" spans="1:6" ht="15.6" x14ac:dyDescent="0.3">
      <c r="A328" s="90"/>
      <c r="D328" s="91"/>
    </row>
    <row r="329" spans="1:6" ht="24" customHeight="1" x14ac:dyDescent="0.3">
      <c r="A329" s="90"/>
      <c r="C329" s="92" t="s">
        <v>1926</v>
      </c>
      <c r="D329" s="93">
        <f>__s28</f>
        <v>0</v>
      </c>
      <c r="E329" s="94"/>
      <c r="F329" s="94"/>
    </row>
    <row r="330" spans="1:6" x14ac:dyDescent="0.3">
      <c r="A330" s="90"/>
    </row>
    <row r="331" spans="1:6" x14ac:dyDescent="0.3">
      <c r="A331" s="90"/>
      <c r="C331" s="95"/>
      <c r="D331" s="95" t="str">
        <f ca="1">' '!$A$364</f>
        <v>Beschreibung/Bemerkungen</v>
      </c>
      <c r="E331" s="95"/>
      <c r="F331" s="95"/>
    </row>
    <row r="332" spans="1:6" x14ac:dyDescent="0.3">
      <c r="A332" s="90"/>
      <c r="C332" s="1121"/>
      <c r="D332" s="1121"/>
      <c r="E332" s="1121"/>
      <c r="F332" s="1121"/>
    </row>
    <row r="333" spans="1:6" x14ac:dyDescent="0.3">
      <c r="A333" s="90"/>
      <c r="C333" s="95"/>
      <c r="D333" s="95" t="str">
        <f ca="1">' '!$A$363</f>
        <v>Berechnung</v>
      </c>
      <c r="E333" s="95"/>
      <c r="F333" s="95"/>
    </row>
    <row r="334" spans="1:6" x14ac:dyDescent="0.3">
      <c r="A334" s="90"/>
      <c r="C334" s="1121"/>
      <c r="D334" s="1121"/>
      <c r="E334" s="1121" t="s">
        <v>695</v>
      </c>
      <c r="F334" s="1121"/>
    </row>
    <row r="335" spans="1:6" x14ac:dyDescent="0.3">
      <c r="A335" s="90"/>
      <c r="C335" s="95"/>
      <c r="D335" s="96" t="str">
        <f ca="1">' '!$A$365</f>
        <v>Quelle</v>
      </c>
      <c r="E335" s="95" t="str">
        <f ca="1">' '!$A$366</f>
        <v>Erhebungszeitpunkt &amp; Branchenvergleich</v>
      </c>
      <c r="F335" s="95"/>
    </row>
    <row r="336" spans="1:6" x14ac:dyDescent="0.3">
      <c r="A336" s="90"/>
      <c r="C336" s="1122"/>
      <c r="D336" s="1123"/>
      <c r="E336" s="1122"/>
      <c r="F336" s="1123"/>
    </row>
    <row r="337" spans="1:6" x14ac:dyDescent="0.3">
      <c r="A337" s="90"/>
      <c r="C337" s="1122"/>
      <c r="D337" s="1123"/>
      <c r="E337" s="1122"/>
      <c r="F337" s="1123"/>
    </row>
    <row r="338" spans="1:6" x14ac:dyDescent="0.3">
      <c r="A338" s="90"/>
      <c r="C338" s="1122"/>
      <c r="D338" s="1123"/>
      <c r="E338" s="1122"/>
      <c r="F338" s="1123"/>
    </row>
    <row r="339" spans="1:6" x14ac:dyDescent="0.3">
      <c r="A339" s="90"/>
      <c r="C339" s="95"/>
      <c r="D339" s="95"/>
      <c r="E339" s="95"/>
      <c r="F339" s="95"/>
    </row>
    <row r="340" spans="1:6" ht="15.6" x14ac:dyDescent="0.3">
      <c r="A340" s="90"/>
      <c r="D340" s="91"/>
    </row>
    <row r="341" spans="1:6" ht="24" customHeight="1" x14ac:dyDescent="0.3">
      <c r="A341" s="90"/>
      <c r="C341" s="92" t="s">
        <v>1927</v>
      </c>
      <c r="D341" s="93">
        <f>__s29</f>
        <v>0</v>
      </c>
      <c r="E341" s="94"/>
      <c r="F341" s="94"/>
    </row>
    <row r="342" spans="1:6" x14ac:dyDescent="0.3">
      <c r="A342" s="90"/>
    </row>
    <row r="343" spans="1:6" x14ac:dyDescent="0.3">
      <c r="A343" s="90"/>
      <c r="C343" s="95"/>
      <c r="D343" s="95" t="str">
        <f ca="1">' '!$A$364</f>
        <v>Beschreibung/Bemerkungen</v>
      </c>
      <c r="E343" s="95"/>
      <c r="F343" s="95"/>
    </row>
    <row r="344" spans="1:6" x14ac:dyDescent="0.3">
      <c r="A344" s="90"/>
      <c r="C344" s="1121"/>
      <c r="D344" s="1121"/>
      <c r="E344" s="1121"/>
      <c r="F344" s="1121"/>
    </row>
    <row r="345" spans="1:6" x14ac:dyDescent="0.3">
      <c r="A345" s="90"/>
      <c r="C345" s="95"/>
      <c r="D345" s="95" t="str">
        <f ca="1">' '!$A$363</f>
        <v>Berechnung</v>
      </c>
      <c r="E345" s="95"/>
      <c r="F345" s="95"/>
    </row>
    <row r="346" spans="1:6" x14ac:dyDescent="0.3">
      <c r="A346" s="90"/>
      <c r="C346" s="1121"/>
      <c r="D346" s="1121"/>
      <c r="E346" s="1121" t="s">
        <v>695</v>
      </c>
      <c r="F346" s="1121"/>
    </row>
    <row r="347" spans="1:6" x14ac:dyDescent="0.3">
      <c r="A347" s="90"/>
      <c r="C347" s="95"/>
      <c r="D347" s="96" t="str">
        <f ca="1">' '!$A$365</f>
        <v>Quelle</v>
      </c>
      <c r="E347" s="95" t="str">
        <f ca="1">' '!$A$366</f>
        <v>Erhebungszeitpunkt &amp; Branchenvergleich</v>
      </c>
      <c r="F347" s="95"/>
    </row>
    <row r="348" spans="1:6" x14ac:dyDescent="0.3">
      <c r="A348" s="90"/>
      <c r="C348" s="1122"/>
      <c r="D348" s="1123"/>
      <c r="E348" s="1122"/>
      <c r="F348" s="1123"/>
    </row>
    <row r="349" spans="1:6" x14ac:dyDescent="0.3">
      <c r="A349" s="90"/>
      <c r="C349" s="1122"/>
      <c r="D349" s="1123"/>
      <c r="E349" s="1122"/>
      <c r="F349" s="1123"/>
    </row>
    <row r="350" spans="1:6" x14ac:dyDescent="0.3">
      <c r="A350" s="90"/>
      <c r="C350" s="1122"/>
      <c r="D350" s="1123"/>
      <c r="E350" s="1122"/>
      <c r="F350" s="1123"/>
    </row>
    <row r="351" spans="1:6" x14ac:dyDescent="0.3">
      <c r="A351" s="90"/>
      <c r="C351" s="95"/>
      <c r="D351" s="95"/>
      <c r="E351" s="95"/>
      <c r="F351" s="95"/>
    </row>
    <row r="352" spans="1:6" ht="15.6" x14ac:dyDescent="0.3">
      <c r="A352" s="90"/>
      <c r="D352" s="91"/>
    </row>
    <row r="353" spans="1:6" ht="24" customHeight="1" x14ac:dyDescent="0.3">
      <c r="A353" s="90"/>
      <c r="C353" s="92" t="s">
        <v>1928</v>
      </c>
      <c r="D353" s="93">
        <f>__s30</f>
        <v>0</v>
      </c>
      <c r="E353" s="94"/>
      <c r="F353" s="94"/>
    </row>
    <row r="354" spans="1:6" x14ac:dyDescent="0.3">
      <c r="A354" s="90"/>
    </row>
    <row r="355" spans="1:6" x14ac:dyDescent="0.3">
      <c r="A355" s="90"/>
      <c r="C355" s="95"/>
      <c r="D355" s="95" t="str">
        <f ca="1">' '!$A$364</f>
        <v>Beschreibung/Bemerkungen</v>
      </c>
      <c r="E355" s="95"/>
      <c r="F355" s="95"/>
    </row>
    <row r="356" spans="1:6" x14ac:dyDescent="0.3">
      <c r="A356" s="90"/>
      <c r="C356" s="1121"/>
      <c r="D356" s="1121"/>
      <c r="E356" s="1121"/>
      <c r="F356" s="1121"/>
    </row>
    <row r="357" spans="1:6" x14ac:dyDescent="0.3">
      <c r="A357" s="90"/>
      <c r="C357" s="95"/>
      <c r="D357" s="95" t="str">
        <f ca="1">' '!$A$363</f>
        <v>Berechnung</v>
      </c>
      <c r="E357" s="95"/>
      <c r="F357" s="95"/>
    </row>
    <row r="358" spans="1:6" x14ac:dyDescent="0.3">
      <c r="A358" s="90"/>
      <c r="C358" s="1121"/>
      <c r="D358" s="1121"/>
      <c r="E358" s="1121" t="s">
        <v>695</v>
      </c>
      <c r="F358" s="1121"/>
    </row>
    <row r="359" spans="1:6" x14ac:dyDescent="0.3">
      <c r="A359" s="90"/>
      <c r="C359" s="95"/>
      <c r="D359" s="96" t="str">
        <f ca="1">' '!$A$365</f>
        <v>Quelle</v>
      </c>
      <c r="E359" s="95" t="str">
        <f ca="1">' '!$A$366</f>
        <v>Erhebungszeitpunkt &amp; Branchenvergleich</v>
      </c>
      <c r="F359" s="95"/>
    </row>
    <row r="360" spans="1:6" x14ac:dyDescent="0.3">
      <c r="A360" s="90"/>
      <c r="C360" s="1122"/>
      <c r="D360" s="1123"/>
      <c r="E360" s="1122"/>
      <c r="F360" s="1123"/>
    </row>
    <row r="361" spans="1:6" x14ac:dyDescent="0.3">
      <c r="A361" s="90"/>
      <c r="C361" s="1122"/>
      <c r="D361" s="1123"/>
      <c r="E361" s="1122"/>
      <c r="F361" s="1123"/>
    </row>
    <row r="362" spans="1:6" x14ac:dyDescent="0.3">
      <c r="A362" s="90"/>
      <c r="C362" s="1122"/>
      <c r="D362" s="1123"/>
      <c r="E362" s="1122"/>
      <c r="F362" s="1123"/>
    </row>
    <row r="363" spans="1:6" x14ac:dyDescent="0.3">
      <c r="A363" s="90"/>
      <c r="C363" s="95"/>
      <c r="D363" s="95"/>
      <c r="E363" s="95"/>
      <c r="F363" s="95"/>
    </row>
    <row r="364" spans="1:6" ht="15.6" x14ac:dyDescent="0.3">
      <c r="A364" s="90"/>
      <c r="D364" s="91"/>
    </row>
    <row r="365" spans="1:6" ht="24" customHeight="1" x14ac:dyDescent="0.3">
      <c r="A365" s="90"/>
      <c r="C365" s="92" t="s">
        <v>1929</v>
      </c>
      <c r="D365" s="93">
        <f>__s31</f>
        <v>0</v>
      </c>
      <c r="E365" s="94"/>
      <c r="F365" s="94"/>
    </row>
    <row r="366" spans="1:6" x14ac:dyDescent="0.3">
      <c r="A366" s="90"/>
    </row>
    <row r="367" spans="1:6" x14ac:dyDescent="0.3">
      <c r="A367" s="90"/>
      <c r="C367" s="95"/>
      <c r="D367" s="95" t="str">
        <f ca="1">' '!$A$364</f>
        <v>Beschreibung/Bemerkungen</v>
      </c>
      <c r="E367" s="95"/>
      <c r="F367" s="95"/>
    </row>
    <row r="368" spans="1:6" x14ac:dyDescent="0.3">
      <c r="A368" s="90"/>
      <c r="C368" s="1121"/>
      <c r="D368" s="1121"/>
      <c r="E368" s="1121"/>
      <c r="F368" s="1121"/>
    </row>
    <row r="369" spans="1:6" x14ac:dyDescent="0.3">
      <c r="A369" s="90"/>
      <c r="C369" s="95"/>
      <c r="D369" s="95" t="str">
        <f ca="1">' '!$A$363</f>
        <v>Berechnung</v>
      </c>
      <c r="E369" s="95"/>
      <c r="F369" s="95"/>
    </row>
    <row r="370" spans="1:6" x14ac:dyDescent="0.3">
      <c r="A370" s="90"/>
      <c r="C370" s="1121"/>
      <c r="D370" s="1121"/>
      <c r="E370" s="1121" t="s">
        <v>695</v>
      </c>
      <c r="F370" s="1121"/>
    </row>
    <row r="371" spans="1:6" x14ac:dyDescent="0.3">
      <c r="A371" s="90"/>
      <c r="C371" s="95"/>
      <c r="D371" s="96" t="str">
        <f ca="1">' '!$A$365</f>
        <v>Quelle</v>
      </c>
      <c r="E371" s="95" t="str">
        <f ca="1">' '!$A$366</f>
        <v>Erhebungszeitpunkt &amp; Branchenvergleich</v>
      </c>
      <c r="F371" s="95"/>
    </row>
    <row r="372" spans="1:6" x14ac:dyDescent="0.3">
      <c r="A372" s="90"/>
      <c r="C372" s="1122"/>
      <c r="D372" s="1123"/>
      <c r="E372" s="1122"/>
      <c r="F372" s="1123"/>
    </row>
    <row r="373" spans="1:6" x14ac:dyDescent="0.3">
      <c r="A373" s="90"/>
      <c r="C373" s="1122"/>
      <c r="D373" s="1123"/>
      <c r="E373" s="1122"/>
      <c r="F373" s="1123"/>
    </row>
    <row r="374" spans="1:6" x14ac:dyDescent="0.3">
      <c r="A374" s="90"/>
      <c r="C374" s="1122"/>
      <c r="D374" s="1123"/>
      <c r="E374" s="1122"/>
      <c r="F374" s="1123"/>
    </row>
    <row r="375" spans="1:6" x14ac:dyDescent="0.3">
      <c r="A375" s="90"/>
      <c r="C375" s="95"/>
      <c r="D375" s="95"/>
      <c r="E375" s="95"/>
      <c r="F375" s="95"/>
    </row>
    <row r="376" spans="1:6" ht="15.6" x14ac:dyDescent="0.3">
      <c r="A376" s="90"/>
      <c r="D376" s="91"/>
    </row>
    <row r="377" spans="1:6" ht="24" customHeight="1" x14ac:dyDescent="0.3">
      <c r="A377" s="90"/>
      <c r="C377" s="92" t="s">
        <v>1930</v>
      </c>
      <c r="D377" s="93">
        <f>__s32</f>
        <v>0</v>
      </c>
      <c r="E377" s="94"/>
      <c r="F377" s="94"/>
    </row>
    <row r="378" spans="1:6" x14ac:dyDescent="0.3">
      <c r="A378" s="90"/>
    </row>
    <row r="379" spans="1:6" x14ac:dyDescent="0.3">
      <c r="A379" s="90"/>
      <c r="C379" s="95"/>
      <c r="D379" s="95" t="str">
        <f ca="1">' '!$A$364</f>
        <v>Beschreibung/Bemerkungen</v>
      </c>
      <c r="E379" s="95"/>
      <c r="F379" s="95"/>
    </row>
    <row r="380" spans="1:6" x14ac:dyDescent="0.3">
      <c r="A380" s="90"/>
      <c r="C380" s="1121"/>
      <c r="D380" s="1121"/>
      <c r="E380" s="1121"/>
      <c r="F380" s="1121"/>
    </row>
    <row r="381" spans="1:6" x14ac:dyDescent="0.3">
      <c r="A381" s="90"/>
      <c r="C381" s="95"/>
      <c r="D381" s="95" t="str">
        <f ca="1">' '!$A$363</f>
        <v>Berechnung</v>
      </c>
      <c r="E381" s="95"/>
      <c r="F381" s="95"/>
    </row>
    <row r="382" spans="1:6" x14ac:dyDescent="0.3">
      <c r="A382" s="90"/>
      <c r="C382" s="1121"/>
      <c r="D382" s="1121"/>
      <c r="E382" s="1121" t="s">
        <v>695</v>
      </c>
      <c r="F382" s="1121"/>
    </row>
    <row r="383" spans="1:6" x14ac:dyDescent="0.3">
      <c r="A383" s="90"/>
      <c r="C383" s="95"/>
      <c r="D383" s="96" t="str">
        <f ca="1">' '!$A$365</f>
        <v>Quelle</v>
      </c>
      <c r="E383" s="95" t="str">
        <f ca="1">' '!$A$366</f>
        <v>Erhebungszeitpunkt &amp; Branchenvergleich</v>
      </c>
      <c r="F383" s="95"/>
    </row>
    <row r="384" spans="1:6" x14ac:dyDescent="0.3">
      <c r="A384" s="90"/>
      <c r="C384" s="1122"/>
      <c r="D384" s="1123"/>
      <c r="E384" s="1122"/>
      <c r="F384" s="1123"/>
    </row>
    <row r="385" spans="1:6" x14ac:dyDescent="0.3">
      <c r="A385" s="90"/>
      <c r="C385" s="1122"/>
      <c r="D385" s="1123"/>
      <c r="E385" s="1122"/>
      <c r="F385" s="1123"/>
    </row>
    <row r="386" spans="1:6" x14ac:dyDescent="0.3">
      <c r="A386" s="90"/>
      <c r="C386" s="1122"/>
      <c r="D386" s="1123"/>
      <c r="E386" s="1122"/>
      <c r="F386" s="1123"/>
    </row>
    <row r="387" spans="1:6" x14ac:dyDescent="0.3">
      <c r="A387" s="90"/>
      <c r="C387" s="95"/>
      <c r="D387" s="95"/>
      <c r="E387" s="95"/>
      <c r="F387" s="95"/>
    </row>
    <row r="388" spans="1:6" ht="15.6" x14ac:dyDescent="0.3">
      <c r="A388" s="90"/>
      <c r="D388" s="91"/>
    </row>
    <row r="389" spans="1:6" ht="24" customHeight="1" x14ac:dyDescent="0.3">
      <c r="A389" s="90"/>
      <c r="C389" s="92" t="s">
        <v>1931</v>
      </c>
      <c r="D389" s="93">
        <f>__s33</f>
        <v>0</v>
      </c>
      <c r="E389" s="94"/>
      <c r="F389" s="94"/>
    </row>
    <row r="390" spans="1:6" x14ac:dyDescent="0.3">
      <c r="A390" s="90"/>
    </row>
    <row r="391" spans="1:6" x14ac:dyDescent="0.3">
      <c r="A391" s="90"/>
      <c r="C391" s="95"/>
      <c r="D391" s="95" t="str">
        <f ca="1">' '!$A$364</f>
        <v>Beschreibung/Bemerkungen</v>
      </c>
      <c r="E391" s="95"/>
      <c r="F391" s="95"/>
    </row>
    <row r="392" spans="1:6" x14ac:dyDescent="0.3">
      <c r="A392" s="90"/>
      <c r="C392" s="1121"/>
      <c r="D392" s="1121"/>
      <c r="E392" s="1121"/>
      <c r="F392" s="1121"/>
    </row>
    <row r="393" spans="1:6" x14ac:dyDescent="0.3">
      <c r="A393" s="90"/>
      <c r="C393" s="95"/>
      <c r="D393" s="95" t="str">
        <f ca="1">' '!$A$363</f>
        <v>Berechnung</v>
      </c>
      <c r="E393" s="95"/>
      <c r="F393" s="95"/>
    </row>
    <row r="394" spans="1:6" x14ac:dyDescent="0.3">
      <c r="A394" s="90"/>
      <c r="C394" s="1121"/>
      <c r="D394" s="1121"/>
      <c r="E394" s="1121" t="s">
        <v>695</v>
      </c>
      <c r="F394" s="1121"/>
    </row>
    <row r="395" spans="1:6" x14ac:dyDescent="0.3">
      <c r="A395" s="90"/>
      <c r="C395" s="95"/>
      <c r="D395" s="96" t="str">
        <f ca="1">' '!$A$365</f>
        <v>Quelle</v>
      </c>
      <c r="E395" s="95" t="str">
        <f ca="1">' '!$A$366</f>
        <v>Erhebungszeitpunkt &amp; Branchenvergleich</v>
      </c>
      <c r="F395" s="95"/>
    </row>
    <row r="396" spans="1:6" x14ac:dyDescent="0.3">
      <c r="A396" s="90"/>
      <c r="C396" s="1122"/>
      <c r="D396" s="1123"/>
      <c r="E396" s="1122"/>
      <c r="F396" s="1123"/>
    </row>
    <row r="397" spans="1:6" x14ac:dyDescent="0.3">
      <c r="A397" s="90"/>
      <c r="C397" s="1122"/>
      <c r="D397" s="1123"/>
      <c r="E397" s="1122"/>
      <c r="F397" s="1123"/>
    </row>
    <row r="398" spans="1:6" x14ac:dyDescent="0.3">
      <c r="A398" s="90"/>
      <c r="C398" s="1122"/>
      <c r="D398" s="1123"/>
      <c r="E398" s="1122"/>
      <c r="F398" s="1123"/>
    </row>
    <row r="399" spans="1:6" x14ac:dyDescent="0.3">
      <c r="A399" s="90"/>
      <c r="C399" s="95"/>
      <c r="D399" s="95"/>
      <c r="E399" s="95"/>
      <c r="F399" s="95"/>
    </row>
    <row r="400" spans="1:6" ht="15.6" x14ac:dyDescent="0.3">
      <c r="A400" s="90"/>
      <c r="D400" s="91"/>
    </row>
    <row r="401" spans="1:6" ht="24" customHeight="1" x14ac:dyDescent="0.3">
      <c r="A401" s="90"/>
      <c r="C401" s="92" t="s">
        <v>1932</v>
      </c>
      <c r="D401" s="93">
        <f>__s34</f>
        <v>0</v>
      </c>
      <c r="E401" s="94"/>
      <c r="F401" s="94"/>
    </row>
    <row r="402" spans="1:6" x14ac:dyDescent="0.3">
      <c r="A402" s="90"/>
    </row>
    <row r="403" spans="1:6" x14ac:dyDescent="0.3">
      <c r="A403" s="90"/>
      <c r="C403" s="95"/>
      <c r="D403" s="95" t="str">
        <f ca="1">' '!$A$364</f>
        <v>Beschreibung/Bemerkungen</v>
      </c>
      <c r="E403" s="95"/>
      <c r="F403" s="95"/>
    </row>
    <row r="404" spans="1:6" x14ac:dyDescent="0.3">
      <c r="A404" s="90"/>
      <c r="C404" s="1121"/>
      <c r="D404" s="1121"/>
      <c r="E404" s="1121"/>
      <c r="F404" s="1121"/>
    </row>
    <row r="405" spans="1:6" x14ac:dyDescent="0.3">
      <c r="A405" s="90"/>
      <c r="C405" s="95"/>
      <c r="D405" s="95" t="str">
        <f ca="1">' '!$A$363</f>
        <v>Berechnung</v>
      </c>
      <c r="E405" s="95"/>
      <c r="F405" s="95"/>
    </row>
    <row r="406" spans="1:6" x14ac:dyDescent="0.3">
      <c r="A406" s="90"/>
      <c r="C406" s="1121"/>
      <c r="D406" s="1121"/>
      <c r="E406" s="1121" t="s">
        <v>695</v>
      </c>
      <c r="F406" s="1121"/>
    </row>
    <row r="407" spans="1:6" x14ac:dyDescent="0.3">
      <c r="A407" s="90"/>
      <c r="C407" s="95"/>
      <c r="D407" s="96" t="str">
        <f ca="1">' '!$A$365</f>
        <v>Quelle</v>
      </c>
      <c r="E407" s="95" t="str">
        <f ca="1">' '!$A$366</f>
        <v>Erhebungszeitpunkt &amp; Branchenvergleich</v>
      </c>
      <c r="F407" s="95"/>
    </row>
    <row r="408" spans="1:6" x14ac:dyDescent="0.3">
      <c r="A408" s="90"/>
      <c r="C408" s="1122"/>
      <c r="D408" s="1123"/>
      <c r="E408" s="1122"/>
      <c r="F408" s="1123"/>
    </row>
    <row r="409" spans="1:6" x14ac:dyDescent="0.3">
      <c r="A409" s="90"/>
      <c r="C409" s="1122"/>
      <c r="D409" s="1123"/>
      <c r="E409" s="1122"/>
      <c r="F409" s="1123"/>
    </row>
    <row r="410" spans="1:6" x14ac:dyDescent="0.3">
      <c r="A410" s="90"/>
      <c r="C410" s="1122"/>
      <c r="D410" s="1123"/>
      <c r="E410" s="1122"/>
      <c r="F410" s="1123"/>
    </row>
    <row r="411" spans="1:6" x14ac:dyDescent="0.3">
      <c r="A411" s="90"/>
      <c r="C411" s="95"/>
      <c r="D411" s="95"/>
      <c r="E411" s="95"/>
      <c r="F411" s="95"/>
    </row>
    <row r="412" spans="1:6" ht="15.6" x14ac:dyDescent="0.3">
      <c r="A412" s="90"/>
      <c r="D412" s="91"/>
    </row>
    <row r="413" spans="1:6" ht="24" customHeight="1" x14ac:dyDescent="0.3">
      <c r="A413" s="90"/>
      <c r="C413" s="92" t="s">
        <v>1933</v>
      </c>
      <c r="D413" s="93">
        <f>__s35</f>
        <v>0</v>
      </c>
      <c r="E413" s="94"/>
      <c r="F413" s="94"/>
    </row>
    <row r="414" spans="1:6" x14ac:dyDescent="0.3">
      <c r="A414" s="90"/>
    </row>
    <row r="415" spans="1:6" x14ac:dyDescent="0.3">
      <c r="A415" s="90"/>
      <c r="C415" s="95"/>
      <c r="D415" s="95" t="str">
        <f ca="1">' '!$A$364</f>
        <v>Beschreibung/Bemerkungen</v>
      </c>
      <c r="E415" s="95"/>
      <c r="F415" s="95"/>
    </row>
    <row r="416" spans="1:6" x14ac:dyDescent="0.3">
      <c r="A416" s="90"/>
      <c r="C416" s="1121"/>
      <c r="D416" s="1121"/>
      <c r="E416" s="1121"/>
      <c r="F416" s="1121"/>
    </row>
    <row r="417" spans="1:6" x14ac:dyDescent="0.3">
      <c r="A417" s="90"/>
      <c r="C417" s="95"/>
      <c r="D417" s="95" t="str">
        <f ca="1">' '!$A$363</f>
        <v>Berechnung</v>
      </c>
      <c r="E417" s="95"/>
      <c r="F417" s="95"/>
    </row>
    <row r="418" spans="1:6" x14ac:dyDescent="0.3">
      <c r="A418" s="90"/>
      <c r="C418" s="1121"/>
      <c r="D418" s="1121"/>
      <c r="E418" s="1121" t="s">
        <v>695</v>
      </c>
      <c r="F418" s="1121"/>
    </row>
    <row r="419" spans="1:6" x14ac:dyDescent="0.3">
      <c r="A419" s="90"/>
      <c r="C419" s="95"/>
      <c r="D419" s="96" t="str">
        <f ca="1">' '!$A$365</f>
        <v>Quelle</v>
      </c>
      <c r="E419" s="95" t="str">
        <f ca="1">' '!$A$366</f>
        <v>Erhebungszeitpunkt &amp; Branchenvergleich</v>
      </c>
      <c r="F419" s="95"/>
    </row>
    <row r="420" spans="1:6" x14ac:dyDescent="0.3">
      <c r="A420" s="90"/>
      <c r="C420" s="1122"/>
      <c r="D420" s="1123"/>
      <c r="E420" s="1122"/>
      <c r="F420" s="1123"/>
    </row>
    <row r="421" spans="1:6" x14ac:dyDescent="0.3">
      <c r="A421" s="90"/>
      <c r="C421" s="1122"/>
      <c r="D421" s="1123"/>
      <c r="E421" s="1122"/>
      <c r="F421" s="1123"/>
    </row>
    <row r="422" spans="1:6" x14ac:dyDescent="0.3">
      <c r="A422" s="90"/>
      <c r="C422" s="1122"/>
      <c r="D422" s="1123"/>
      <c r="E422" s="1122"/>
      <c r="F422" s="1123"/>
    </row>
    <row r="423" spans="1:6" x14ac:dyDescent="0.3">
      <c r="A423" s="90"/>
      <c r="C423" s="95"/>
      <c r="D423" s="95"/>
      <c r="E423" s="95"/>
      <c r="F423" s="95"/>
    </row>
    <row r="424" spans="1:6" ht="15.6" x14ac:dyDescent="0.3">
      <c r="A424" s="90"/>
      <c r="D424" s="91"/>
    </row>
    <row r="425" spans="1:6" ht="24" customHeight="1" x14ac:dyDescent="0.3">
      <c r="A425" s="90"/>
      <c r="C425" s="92" t="s">
        <v>1934</v>
      </c>
      <c r="D425" s="93">
        <f>__s36</f>
        <v>0</v>
      </c>
      <c r="E425" s="94"/>
      <c r="F425" s="94"/>
    </row>
    <row r="426" spans="1:6" x14ac:dyDescent="0.3">
      <c r="A426" s="90"/>
    </row>
    <row r="427" spans="1:6" x14ac:dyDescent="0.3">
      <c r="A427" s="90"/>
      <c r="C427" s="95"/>
      <c r="D427" s="95" t="str">
        <f ca="1">' '!$A$364</f>
        <v>Beschreibung/Bemerkungen</v>
      </c>
      <c r="E427" s="95"/>
      <c r="F427" s="95"/>
    </row>
    <row r="428" spans="1:6" x14ac:dyDescent="0.3">
      <c r="A428" s="90"/>
      <c r="C428" s="1121"/>
      <c r="D428" s="1121"/>
      <c r="E428" s="1121"/>
      <c r="F428" s="1121"/>
    </row>
    <row r="429" spans="1:6" x14ac:dyDescent="0.3">
      <c r="A429" s="90"/>
      <c r="C429" s="95"/>
      <c r="D429" s="95" t="str">
        <f ca="1">' '!$A$363</f>
        <v>Berechnung</v>
      </c>
      <c r="E429" s="95"/>
      <c r="F429" s="95"/>
    </row>
    <row r="430" spans="1:6" x14ac:dyDescent="0.3">
      <c r="A430" s="90"/>
      <c r="C430" s="1121"/>
      <c r="D430" s="1121"/>
      <c r="E430" s="1121" t="s">
        <v>695</v>
      </c>
      <c r="F430" s="1121"/>
    </row>
    <row r="431" spans="1:6" x14ac:dyDescent="0.3">
      <c r="A431" s="90"/>
      <c r="C431" s="95"/>
      <c r="D431" s="96" t="str">
        <f ca="1">' '!$A$365</f>
        <v>Quelle</v>
      </c>
      <c r="E431" s="95" t="str">
        <f ca="1">' '!$A$366</f>
        <v>Erhebungszeitpunkt &amp; Branchenvergleich</v>
      </c>
      <c r="F431" s="95"/>
    </row>
    <row r="432" spans="1:6" x14ac:dyDescent="0.3">
      <c r="A432" s="90"/>
      <c r="C432" s="1122"/>
      <c r="D432" s="1123"/>
      <c r="E432" s="1122"/>
      <c r="F432" s="1123"/>
    </row>
    <row r="433" spans="1:6" x14ac:dyDescent="0.3">
      <c r="A433" s="90"/>
      <c r="C433" s="1122"/>
      <c r="D433" s="1123"/>
      <c r="E433" s="1122"/>
      <c r="F433" s="1123"/>
    </row>
    <row r="434" spans="1:6" x14ac:dyDescent="0.3">
      <c r="A434" s="90"/>
      <c r="C434" s="1122"/>
      <c r="D434" s="1123"/>
      <c r="E434" s="1122"/>
      <c r="F434" s="1123"/>
    </row>
    <row r="435" spans="1:6" x14ac:dyDescent="0.3">
      <c r="A435" s="90"/>
      <c r="C435" s="95"/>
      <c r="D435" s="95"/>
      <c r="E435" s="95"/>
      <c r="F435" s="95"/>
    </row>
    <row r="436" spans="1:6" ht="15.6" x14ac:dyDescent="0.3">
      <c r="A436" s="90"/>
      <c r="D436" s="91"/>
    </row>
    <row r="437" spans="1:6" ht="24" customHeight="1" x14ac:dyDescent="0.3">
      <c r="A437" s="90"/>
      <c r="C437" s="92" t="s">
        <v>1935</v>
      </c>
      <c r="D437" s="93">
        <f>__s37</f>
        <v>0</v>
      </c>
      <c r="E437" s="94"/>
      <c r="F437" s="94"/>
    </row>
    <row r="438" spans="1:6" x14ac:dyDescent="0.3">
      <c r="A438" s="90"/>
    </row>
    <row r="439" spans="1:6" x14ac:dyDescent="0.3">
      <c r="A439" s="90"/>
      <c r="C439" s="95"/>
      <c r="D439" s="95" t="str">
        <f ca="1">' '!$A$364</f>
        <v>Beschreibung/Bemerkungen</v>
      </c>
      <c r="E439" s="95"/>
      <c r="F439" s="95"/>
    </row>
    <row r="440" spans="1:6" x14ac:dyDescent="0.3">
      <c r="A440" s="90"/>
      <c r="C440" s="1121"/>
      <c r="D440" s="1121"/>
      <c r="E440" s="1121"/>
      <c r="F440" s="1121"/>
    </row>
    <row r="441" spans="1:6" x14ac:dyDescent="0.3">
      <c r="A441" s="90"/>
      <c r="C441" s="95"/>
      <c r="D441" s="95" t="str">
        <f ca="1">' '!$A$363</f>
        <v>Berechnung</v>
      </c>
      <c r="E441" s="95"/>
      <c r="F441" s="95"/>
    </row>
    <row r="442" spans="1:6" x14ac:dyDescent="0.3">
      <c r="A442" s="90"/>
      <c r="C442" s="1121"/>
      <c r="D442" s="1121"/>
      <c r="E442" s="1121" t="s">
        <v>695</v>
      </c>
      <c r="F442" s="1121"/>
    </row>
    <row r="443" spans="1:6" x14ac:dyDescent="0.3">
      <c r="A443" s="90"/>
      <c r="C443" s="95"/>
      <c r="D443" s="96" t="str">
        <f ca="1">' '!$A$365</f>
        <v>Quelle</v>
      </c>
      <c r="E443" s="95" t="str">
        <f ca="1">' '!$A$366</f>
        <v>Erhebungszeitpunkt &amp; Branchenvergleich</v>
      </c>
      <c r="F443" s="95"/>
    </row>
    <row r="444" spans="1:6" x14ac:dyDescent="0.3">
      <c r="A444" s="90"/>
      <c r="C444" s="1122"/>
      <c r="D444" s="1123"/>
      <c r="E444" s="1122"/>
      <c r="F444" s="1123"/>
    </row>
    <row r="445" spans="1:6" x14ac:dyDescent="0.3">
      <c r="A445" s="90"/>
      <c r="C445" s="1122"/>
      <c r="D445" s="1123"/>
      <c r="E445" s="1122"/>
      <c r="F445" s="1123"/>
    </row>
    <row r="446" spans="1:6" x14ac:dyDescent="0.3">
      <c r="A446" s="90"/>
      <c r="C446" s="1122"/>
      <c r="D446" s="1123"/>
      <c r="E446" s="1122"/>
      <c r="F446" s="1123"/>
    </row>
    <row r="447" spans="1:6" x14ac:dyDescent="0.3">
      <c r="A447" s="90"/>
      <c r="C447" s="95"/>
      <c r="D447" s="95"/>
      <c r="E447" s="95"/>
      <c r="F447" s="95"/>
    </row>
    <row r="448" spans="1:6" ht="15.6" x14ac:dyDescent="0.3">
      <c r="A448" s="90"/>
      <c r="D448" s="91"/>
    </row>
    <row r="449" spans="1:6" ht="24" customHeight="1" x14ac:dyDescent="0.3">
      <c r="A449" s="90"/>
      <c r="C449" s="92" t="s">
        <v>1936</v>
      </c>
      <c r="D449" s="93">
        <f>__s38</f>
        <v>0</v>
      </c>
      <c r="E449" s="94"/>
      <c r="F449" s="94"/>
    </row>
    <row r="450" spans="1:6" x14ac:dyDescent="0.3">
      <c r="A450" s="90"/>
    </row>
    <row r="451" spans="1:6" x14ac:dyDescent="0.3">
      <c r="A451" s="90"/>
      <c r="C451" s="95"/>
      <c r="D451" s="95" t="str">
        <f ca="1">' '!$A$364</f>
        <v>Beschreibung/Bemerkungen</v>
      </c>
      <c r="E451" s="95"/>
      <c r="F451" s="95"/>
    </row>
    <row r="452" spans="1:6" x14ac:dyDescent="0.3">
      <c r="A452" s="90"/>
      <c r="C452" s="1121"/>
      <c r="D452" s="1121"/>
      <c r="E452" s="1121"/>
      <c r="F452" s="1121"/>
    </row>
    <row r="453" spans="1:6" x14ac:dyDescent="0.3">
      <c r="A453" s="90"/>
      <c r="C453" s="95"/>
      <c r="D453" s="95" t="str">
        <f ca="1">' '!$A$363</f>
        <v>Berechnung</v>
      </c>
      <c r="E453" s="95"/>
      <c r="F453" s="95"/>
    </row>
    <row r="454" spans="1:6" x14ac:dyDescent="0.3">
      <c r="A454" s="90"/>
      <c r="C454" s="1121"/>
      <c r="D454" s="1121"/>
      <c r="E454" s="1121" t="s">
        <v>695</v>
      </c>
      <c r="F454" s="1121"/>
    </row>
    <row r="455" spans="1:6" x14ac:dyDescent="0.3">
      <c r="A455" s="90"/>
      <c r="C455" s="95"/>
      <c r="D455" s="96" t="str">
        <f ca="1">' '!$A$365</f>
        <v>Quelle</v>
      </c>
      <c r="E455" s="95" t="str">
        <f ca="1">' '!$A$366</f>
        <v>Erhebungszeitpunkt &amp; Branchenvergleich</v>
      </c>
      <c r="F455" s="95"/>
    </row>
    <row r="456" spans="1:6" x14ac:dyDescent="0.3">
      <c r="A456" s="90"/>
      <c r="C456" s="1122"/>
      <c r="D456" s="1123"/>
      <c r="E456" s="1122"/>
      <c r="F456" s="1123"/>
    </row>
    <row r="457" spans="1:6" x14ac:dyDescent="0.3">
      <c r="A457" s="90"/>
      <c r="C457" s="1122"/>
      <c r="D457" s="1123"/>
      <c r="E457" s="1122"/>
      <c r="F457" s="1123"/>
    </row>
    <row r="458" spans="1:6" x14ac:dyDescent="0.3">
      <c r="A458" s="90"/>
      <c r="C458" s="1122"/>
      <c r="D458" s="1123"/>
      <c r="E458" s="1122"/>
      <c r="F458" s="1123"/>
    </row>
    <row r="459" spans="1:6" x14ac:dyDescent="0.3">
      <c r="A459" s="90"/>
      <c r="C459" s="95"/>
      <c r="D459" s="95"/>
      <c r="E459" s="95"/>
      <c r="F459" s="95"/>
    </row>
    <row r="460" spans="1:6" ht="15.6" x14ac:dyDescent="0.3">
      <c r="A460" s="90"/>
      <c r="D460" s="91"/>
    </row>
    <row r="461" spans="1:6" ht="24" customHeight="1" x14ac:dyDescent="0.3">
      <c r="A461" s="90"/>
      <c r="C461" s="92" t="s">
        <v>1937</v>
      </c>
      <c r="D461" s="93">
        <f>__s39</f>
        <v>0</v>
      </c>
      <c r="E461" s="94"/>
      <c r="F461" s="94"/>
    </row>
    <row r="462" spans="1:6" x14ac:dyDescent="0.3">
      <c r="A462" s="90"/>
    </row>
    <row r="463" spans="1:6" x14ac:dyDescent="0.3">
      <c r="A463" s="90"/>
      <c r="C463" s="95"/>
      <c r="D463" s="95" t="str">
        <f ca="1">' '!$A$364</f>
        <v>Beschreibung/Bemerkungen</v>
      </c>
      <c r="E463" s="95"/>
      <c r="F463" s="95"/>
    </row>
    <row r="464" spans="1:6" x14ac:dyDescent="0.3">
      <c r="A464" s="90"/>
      <c r="C464" s="1121"/>
      <c r="D464" s="1121"/>
      <c r="E464" s="1121"/>
      <c r="F464" s="1121"/>
    </row>
    <row r="465" spans="1:6" x14ac:dyDescent="0.3">
      <c r="A465" s="90"/>
      <c r="C465" s="95"/>
      <c r="D465" s="95" t="str">
        <f ca="1">' '!$A$363</f>
        <v>Berechnung</v>
      </c>
      <c r="E465" s="95"/>
      <c r="F465" s="95"/>
    </row>
    <row r="466" spans="1:6" x14ac:dyDescent="0.3">
      <c r="A466" s="90"/>
      <c r="C466" s="1121"/>
      <c r="D466" s="1121"/>
      <c r="E466" s="1121" t="s">
        <v>695</v>
      </c>
      <c r="F466" s="1121"/>
    </row>
    <row r="467" spans="1:6" x14ac:dyDescent="0.3">
      <c r="A467" s="90"/>
      <c r="C467" s="95"/>
      <c r="D467" s="96" t="str">
        <f ca="1">' '!$A$365</f>
        <v>Quelle</v>
      </c>
      <c r="E467" s="95" t="str">
        <f ca="1">' '!$A$366</f>
        <v>Erhebungszeitpunkt &amp; Branchenvergleich</v>
      </c>
      <c r="F467" s="95"/>
    </row>
    <row r="468" spans="1:6" x14ac:dyDescent="0.3">
      <c r="A468" s="90"/>
      <c r="C468" s="1122"/>
      <c r="D468" s="1123"/>
      <c r="E468" s="1122"/>
      <c r="F468" s="1123"/>
    </row>
    <row r="469" spans="1:6" x14ac:dyDescent="0.3">
      <c r="A469" s="90"/>
      <c r="C469" s="1122"/>
      <c r="D469" s="1123"/>
      <c r="E469" s="1122"/>
      <c r="F469" s="1123"/>
    </row>
    <row r="470" spans="1:6" x14ac:dyDescent="0.3">
      <c r="A470" s="90"/>
      <c r="C470" s="1122"/>
      <c r="D470" s="1123"/>
      <c r="E470" s="1122"/>
      <c r="F470" s="1123"/>
    </row>
    <row r="471" spans="1:6" x14ac:dyDescent="0.3">
      <c r="A471" s="90"/>
      <c r="C471" s="95"/>
      <c r="D471" s="95"/>
      <c r="E471" s="95"/>
      <c r="F471" s="95"/>
    </row>
    <row r="472" spans="1:6" ht="15.6" x14ac:dyDescent="0.3">
      <c r="A472" s="90"/>
      <c r="D472" s="91"/>
    </row>
    <row r="473" spans="1:6" ht="24" customHeight="1" x14ac:dyDescent="0.3">
      <c r="A473" s="90"/>
      <c r="C473" s="92" t="s">
        <v>1938</v>
      </c>
      <c r="D473" s="93">
        <f>__s40</f>
        <v>0</v>
      </c>
      <c r="E473" s="94"/>
      <c r="F473" s="94"/>
    </row>
    <row r="474" spans="1:6" x14ac:dyDescent="0.3">
      <c r="A474" s="90"/>
    </row>
    <row r="475" spans="1:6" x14ac:dyDescent="0.3">
      <c r="A475" s="90"/>
      <c r="C475" s="95"/>
      <c r="D475" s="95" t="str">
        <f ca="1">' '!$A$364</f>
        <v>Beschreibung/Bemerkungen</v>
      </c>
      <c r="E475" s="95"/>
      <c r="F475" s="95"/>
    </row>
    <row r="476" spans="1:6" x14ac:dyDescent="0.3">
      <c r="A476" s="90"/>
      <c r="C476" s="1121"/>
      <c r="D476" s="1121"/>
      <c r="E476" s="1121"/>
      <c r="F476" s="1121"/>
    </row>
    <row r="477" spans="1:6" x14ac:dyDescent="0.3">
      <c r="A477" s="90"/>
      <c r="C477" s="95"/>
      <c r="D477" s="95" t="str">
        <f ca="1">' '!$A$363</f>
        <v>Berechnung</v>
      </c>
      <c r="E477" s="95"/>
      <c r="F477" s="95"/>
    </row>
    <row r="478" spans="1:6" x14ac:dyDescent="0.3">
      <c r="A478" s="90"/>
      <c r="C478" s="1121"/>
      <c r="D478" s="1121"/>
      <c r="E478" s="1121" t="s">
        <v>695</v>
      </c>
      <c r="F478" s="1121"/>
    </row>
    <row r="479" spans="1:6" x14ac:dyDescent="0.3">
      <c r="A479" s="90"/>
      <c r="C479" s="95"/>
      <c r="D479" s="96" t="str">
        <f ca="1">' '!$A$365</f>
        <v>Quelle</v>
      </c>
      <c r="E479" s="95" t="str">
        <f ca="1">' '!$A$366</f>
        <v>Erhebungszeitpunkt &amp; Branchenvergleich</v>
      </c>
      <c r="F479" s="95"/>
    </row>
    <row r="480" spans="1:6" x14ac:dyDescent="0.3">
      <c r="A480" s="90"/>
      <c r="C480" s="1122"/>
      <c r="D480" s="1123"/>
      <c r="E480" s="1122"/>
      <c r="F480" s="1123"/>
    </row>
    <row r="481" spans="1:6" x14ac:dyDescent="0.3">
      <c r="A481" s="90"/>
      <c r="C481" s="1122"/>
      <c r="D481" s="1123"/>
      <c r="E481" s="1122"/>
      <c r="F481" s="1123"/>
    </row>
    <row r="482" spans="1:6" x14ac:dyDescent="0.3">
      <c r="A482" s="90"/>
      <c r="C482" s="1122"/>
      <c r="D482" s="1123"/>
      <c r="E482" s="1122"/>
      <c r="F482" s="1123"/>
    </row>
    <row r="483" spans="1:6" x14ac:dyDescent="0.3">
      <c r="A483" s="90"/>
      <c r="C483" s="95"/>
      <c r="D483" s="95"/>
      <c r="E483" s="95"/>
      <c r="F483" s="95"/>
    </row>
    <row r="484" spans="1:6" x14ac:dyDescent="0.3">
      <c r="C484" s="74" t="s">
        <v>2103</v>
      </c>
      <c r="D484" s="97"/>
    </row>
  </sheetData>
  <sheetProtection sheet="1" objects="1" scenarios="1" formatCells="0" formatColumns="0" formatRows="0" insertHyperlinks="0" selectLockedCells="1" sort="0" autoFilter="0"/>
  <mergeCells count="160">
    <mergeCell ref="C476:F476"/>
    <mergeCell ref="C478:F478"/>
    <mergeCell ref="C480:D482"/>
    <mergeCell ref="E480:F482"/>
    <mergeCell ref="C456:D458"/>
    <mergeCell ref="E456:F458"/>
    <mergeCell ref="C464:F464"/>
    <mergeCell ref="C466:F466"/>
    <mergeCell ref="C468:D470"/>
    <mergeCell ref="E468:F470"/>
    <mergeCell ref="C440:F440"/>
    <mergeCell ref="C442:F442"/>
    <mergeCell ref="C444:D446"/>
    <mergeCell ref="E444:F446"/>
    <mergeCell ref="C452:F452"/>
    <mergeCell ref="C454:F454"/>
    <mergeCell ref="C420:D422"/>
    <mergeCell ref="E420:F422"/>
    <mergeCell ref="C428:F428"/>
    <mergeCell ref="C430:F430"/>
    <mergeCell ref="C432:D434"/>
    <mergeCell ref="E432:F434"/>
    <mergeCell ref="C404:F404"/>
    <mergeCell ref="C406:F406"/>
    <mergeCell ref="C408:D410"/>
    <mergeCell ref="E408:F410"/>
    <mergeCell ref="C416:F416"/>
    <mergeCell ref="C418:F418"/>
    <mergeCell ref="C384:D386"/>
    <mergeCell ref="E384:F386"/>
    <mergeCell ref="C392:F392"/>
    <mergeCell ref="C394:F394"/>
    <mergeCell ref="C396:D398"/>
    <mergeCell ref="E396:F398"/>
    <mergeCell ref="C368:F368"/>
    <mergeCell ref="C370:F370"/>
    <mergeCell ref="C372:D374"/>
    <mergeCell ref="E372:F374"/>
    <mergeCell ref="C380:F380"/>
    <mergeCell ref="C382:F382"/>
    <mergeCell ref="C348:D350"/>
    <mergeCell ref="E348:F350"/>
    <mergeCell ref="C356:F356"/>
    <mergeCell ref="C358:F358"/>
    <mergeCell ref="C360:D362"/>
    <mergeCell ref="E360:F362"/>
    <mergeCell ref="C332:F332"/>
    <mergeCell ref="C334:F334"/>
    <mergeCell ref="C336:D338"/>
    <mergeCell ref="E336:F338"/>
    <mergeCell ref="C344:F344"/>
    <mergeCell ref="C346:F346"/>
    <mergeCell ref="C312:D314"/>
    <mergeCell ref="E312:F314"/>
    <mergeCell ref="C320:F320"/>
    <mergeCell ref="C322:F322"/>
    <mergeCell ref="C324:D326"/>
    <mergeCell ref="E324:F326"/>
    <mergeCell ref="C296:F296"/>
    <mergeCell ref="C298:F298"/>
    <mergeCell ref="C300:D302"/>
    <mergeCell ref="E300:F302"/>
    <mergeCell ref="C308:F308"/>
    <mergeCell ref="C310:F310"/>
    <mergeCell ref="C276:D278"/>
    <mergeCell ref="E276:F278"/>
    <mergeCell ref="C284:F284"/>
    <mergeCell ref="C286:F286"/>
    <mergeCell ref="C288:D290"/>
    <mergeCell ref="E288:F290"/>
    <mergeCell ref="C260:F260"/>
    <mergeCell ref="C262:F262"/>
    <mergeCell ref="C264:D266"/>
    <mergeCell ref="E264:F266"/>
    <mergeCell ref="C272:F272"/>
    <mergeCell ref="C274:F274"/>
    <mergeCell ref="C240:D242"/>
    <mergeCell ref="E240:F242"/>
    <mergeCell ref="C248:F248"/>
    <mergeCell ref="C250:F250"/>
    <mergeCell ref="C252:D254"/>
    <mergeCell ref="E252:F254"/>
    <mergeCell ref="C224:F224"/>
    <mergeCell ref="C226:F226"/>
    <mergeCell ref="C228:D230"/>
    <mergeCell ref="E228:F230"/>
    <mergeCell ref="C236:F236"/>
    <mergeCell ref="C238:F238"/>
    <mergeCell ref="C204:D206"/>
    <mergeCell ref="E204:F206"/>
    <mergeCell ref="C212:F212"/>
    <mergeCell ref="C214:F214"/>
    <mergeCell ref="C216:D218"/>
    <mergeCell ref="E216:F218"/>
    <mergeCell ref="C188:F188"/>
    <mergeCell ref="C190:F190"/>
    <mergeCell ref="C192:D194"/>
    <mergeCell ref="E192:F194"/>
    <mergeCell ref="C200:F200"/>
    <mergeCell ref="C202:F202"/>
    <mergeCell ref="C168:D170"/>
    <mergeCell ref="E168:F170"/>
    <mergeCell ref="C176:F176"/>
    <mergeCell ref="C178:F178"/>
    <mergeCell ref="C180:D182"/>
    <mergeCell ref="E180:F182"/>
    <mergeCell ref="C152:F152"/>
    <mergeCell ref="C154:F154"/>
    <mergeCell ref="C156:D158"/>
    <mergeCell ref="E156:F158"/>
    <mergeCell ref="C164:F164"/>
    <mergeCell ref="C166:F166"/>
    <mergeCell ref="C132:D134"/>
    <mergeCell ref="E132:F134"/>
    <mergeCell ref="C140:F140"/>
    <mergeCell ref="C142:F142"/>
    <mergeCell ref="C144:D146"/>
    <mergeCell ref="E144:F146"/>
    <mergeCell ref="C116:F116"/>
    <mergeCell ref="C118:F118"/>
    <mergeCell ref="C120:D122"/>
    <mergeCell ref="E120:F122"/>
    <mergeCell ref="C128:F128"/>
    <mergeCell ref="C130:F130"/>
    <mergeCell ref="C96:D98"/>
    <mergeCell ref="E96:F98"/>
    <mergeCell ref="C104:F104"/>
    <mergeCell ref="C106:F106"/>
    <mergeCell ref="C108:D110"/>
    <mergeCell ref="E108:F110"/>
    <mergeCell ref="C82:F82"/>
    <mergeCell ref="C84:D86"/>
    <mergeCell ref="E84:F86"/>
    <mergeCell ref="C92:F92"/>
    <mergeCell ref="C94:F94"/>
    <mergeCell ref="C60:D62"/>
    <mergeCell ref="E60:F62"/>
    <mergeCell ref="C68:F68"/>
    <mergeCell ref="C70:F70"/>
    <mergeCell ref="C72:D74"/>
    <mergeCell ref="E72:F74"/>
    <mergeCell ref="C56:F56"/>
    <mergeCell ref="C58:F58"/>
    <mergeCell ref="C24:D26"/>
    <mergeCell ref="E24:F26"/>
    <mergeCell ref="C32:F32"/>
    <mergeCell ref="C34:F34"/>
    <mergeCell ref="C36:D38"/>
    <mergeCell ref="E36:F38"/>
    <mergeCell ref="C80:F80"/>
    <mergeCell ref="C8:F8"/>
    <mergeCell ref="C10:F10"/>
    <mergeCell ref="C12:D14"/>
    <mergeCell ref="E12:F14"/>
    <mergeCell ref="C20:F20"/>
    <mergeCell ref="C22:F22"/>
    <mergeCell ref="C44:F44"/>
    <mergeCell ref="C46:F46"/>
    <mergeCell ref="C48:D50"/>
    <mergeCell ref="E48:F50"/>
  </mergeCells>
  <pageMargins left="0.23622047244094491" right="0.23622047244094491" top="0.74803149606299213" bottom="0.74803149606299213" header="0.31496062992125984" footer="0.31496062992125984"/>
  <pageSetup paperSize="9" scale="90" orientation="portrait" horizontalDpi="300" verticalDpi="300" r:id="rId1"/>
  <drawing r:id="rId2"/>
  <legacyDrawing r:id="rId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Tabelle7"/>
  <dimension ref="B4:F9"/>
  <sheetViews>
    <sheetView showGridLines="0" zoomScaleNormal="100" workbookViewId="0">
      <selection activeCell="A2" sqref="A2"/>
    </sheetView>
  </sheetViews>
  <sheetFormatPr baseColWidth="10" defaultColWidth="11.5546875" defaultRowHeight="14.4" x14ac:dyDescent="0.3"/>
  <cols>
    <col min="1" max="2" width="11.5546875" style="56"/>
    <col min="3" max="3" width="0.5546875" style="56" customWidth="1"/>
    <col min="4" max="4" width="32.44140625" style="56" customWidth="1"/>
    <col min="5" max="5" width="0.44140625" style="56" customWidth="1"/>
    <col min="6" max="16384" width="11.5546875" style="56"/>
  </cols>
  <sheetData>
    <row r="4" spans="2:6" ht="20.25" customHeight="1" x14ac:dyDescent="0.3">
      <c r="B4" s="57"/>
      <c r="C4" s="57"/>
      <c r="D4" s="58" t="str">
        <f ca="1">' '!A23</f>
        <v>Ihr Logo:</v>
      </c>
      <c r="E4" s="57"/>
      <c r="F4" s="57"/>
    </row>
    <row r="5" spans="2:6" ht="3.75" customHeight="1" x14ac:dyDescent="0.3">
      <c r="B5" s="57"/>
      <c r="F5" s="57"/>
    </row>
    <row r="6" spans="2:6" ht="41.25" customHeight="1" x14ac:dyDescent="0.3">
      <c r="B6" s="57"/>
      <c r="D6" s="59"/>
      <c r="F6" s="57"/>
    </row>
    <row r="7" spans="2:6" ht="3" customHeight="1" x14ac:dyDescent="0.3">
      <c r="B7" s="57"/>
      <c r="F7" s="57"/>
    </row>
    <row r="8" spans="2:6" x14ac:dyDescent="0.3">
      <c r="B8" s="57"/>
      <c r="C8" s="57"/>
      <c r="D8" s="57"/>
      <c r="E8" s="57"/>
      <c r="F8" s="57"/>
    </row>
    <row r="9" spans="2:6" ht="9" customHeight="1" x14ac:dyDescent="0.3">
      <c r="B9" s="57"/>
      <c r="C9" s="57"/>
      <c r="D9" s="57"/>
      <c r="E9" s="57"/>
      <c r="F9" s="57"/>
    </row>
  </sheetData>
  <sheetProtection sheet="1" scenarios="1" formatCells="0" formatColumns="0" formatRows="0" insertHyperlinks="0" sort="0" autoFilter="0"/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38</vt:i4>
      </vt:variant>
      <vt:variant>
        <vt:lpstr>Benannte Bereiche</vt:lpstr>
      </vt:variant>
      <vt:variant>
        <vt:i4>378</vt:i4>
      </vt:variant>
    </vt:vector>
  </HeadingPairs>
  <TitlesOfParts>
    <vt:vector size="416" baseType="lpstr">
      <vt:lpstr>MenuChange</vt:lpstr>
      <vt:lpstr>Dringlichkeit</vt:lpstr>
      <vt:lpstr>Risikomgmt</vt:lpstr>
      <vt:lpstr>Benchmark</vt:lpstr>
      <vt:lpstr>Reklamationen</vt:lpstr>
      <vt:lpstr>Fehler</vt:lpstr>
      <vt:lpstr>Eisenhower</vt:lpstr>
      <vt:lpstr>Swot-Analyse</vt:lpstr>
      <vt:lpstr>Trends</vt:lpstr>
      <vt:lpstr>Consumer_Trend</vt:lpstr>
      <vt:lpstr>Fuehrung</vt:lpstr>
      <vt:lpstr>Stakeholder</vt:lpstr>
      <vt:lpstr>Struktur</vt:lpstr>
      <vt:lpstr>Systeme</vt:lpstr>
      <vt:lpstr>Canvas</vt:lpstr>
      <vt:lpstr>Forces</vt:lpstr>
      <vt:lpstr>Chances</vt:lpstr>
      <vt:lpstr>Prozesse</vt:lpstr>
      <vt:lpstr>Massnahmen</vt:lpstr>
      <vt:lpstr>Personal</vt:lpstr>
      <vt:lpstr>Cockpit</vt:lpstr>
      <vt:lpstr>Kernkompetenzen</vt:lpstr>
      <vt:lpstr>Leadership</vt:lpstr>
      <vt:lpstr>Fishbone</vt:lpstr>
      <vt:lpstr>KostenNutzen</vt:lpstr>
      <vt:lpstr>MatrixIdee</vt:lpstr>
      <vt:lpstr>KPI</vt:lpstr>
      <vt:lpstr>Pareto</vt:lpstr>
      <vt:lpstr>Kommunikation</vt:lpstr>
      <vt:lpstr>Lewin</vt:lpstr>
      <vt:lpstr>2Cockpit</vt:lpstr>
      <vt:lpstr>2Strategie</vt:lpstr>
      <vt:lpstr>2BP</vt:lpstr>
      <vt:lpstr>2BSC</vt:lpstr>
      <vt:lpstr>2Projektmgmt</vt:lpstr>
      <vt:lpstr>oIndikatoren</vt:lpstr>
      <vt:lpstr>sIndikatoren</vt:lpstr>
      <vt:lpstr>Logo</vt:lpstr>
      <vt:lpstr>__10</vt:lpstr>
      <vt:lpstr>__11</vt:lpstr>
      <vt:lpstr>__12</vt:lpstr>
      <vt:lpstr>__13</vt:lpstr>
      <vt:lpstr>__14</vt:lpstr>
      <vt:lpstr>__15</vt:lpstr>
      <vt:lpstr>__16</vt:lpstr>
      <vt:lpstr>__17</vt:lpstr>
      <vt:lpstr>__18</vt:lpstr>
      <vt:lpstr>__19</vt:lpstr>
      <vt:lpstr>__20</vt:lpstr>
      <vt:lpstr>__21</vt:lpstr>
      <vt:lpstr>__22</vt:lpstr>
      <vt:lpstr>__23</vt:lpstr>
      <vt:lpstr>__24</vt:lpstr>
      <vt:lpstr>__25</vt:lpstr>
      <vt:lpstr>__26</vt:lpstr>
      <vt:lpstr>__27</vt:lpstr>
      <vt:lpstr>__28</vt:lpstr>
      <vt:lpstr>__29</vt:lpstr>
      <vt:lpstr>__30</vt:lpstr>
      <vt:lpstr>__31</vt:lpstr>
      <vt:lpstr>__32</vt:lpstr>
      <vt:lpstr>__33</vt:lpstr>
      <vt:lpstr>__34</vt:lpstr>
      <vt:lpstr>__35</vt:lpstr>
      <vt:lpstr>__36</vt:lpstr>
      <vt:lpstr>__37</vt:lpstr>
      <vt:lpstr>__38</vt:lpstr>
      <vt:lpstr>__39</vt:lpstr>
      <vt:lpstr>__40</vt:lpstr>
      <vt:lpstr>__41</vt:lpstr>
      <vt:lpstr>__42</vt:lpstr>
      <vt:lpstr>__43</vt:lpstr>
      <vt:lpstr>__44</vt:lpstr>
      <vt:lpstr>__45</vt:lpstr>
      <vt:lpstr>__46</vt:lpstr>
      <vt:lpstr>__47</vt:lpstr>
      <vt:lpstr>__48</vt:lpstr>
      <vt:lpstr>__49</vt:lpstr>
      <vt:lpstr>__50</vt:lpstr>
      <vt:lpstr>__51</vt:lpstr>
      <vt:lpstr>__52</vt:lpstr>
      <vt:lpstr>__53</vt:lpstr>
      <vt:lpstr>__54</vt:lpstr>
      <vt:lpstr>__55</vt:lpstr>
      <vt:lpstr>__56</vt:lpstr>
      <vt:lpstr>__57</vt:lpstr>
      <vt:lpstr>__58</vt:lpstr>
      <vt:lpstr>__59</vt:lpstr>
      <vt:lpstr>__60</vt:lpstr>
      <vt:lpstr>__61</vt:lpstr>
      <vt:lpstr>__62</vt:lpstr>
      <vt:lpstr>__63</vt:lpstr>
      <vt:lpstr>__64</vt:lpstr>
      <vt:lpstr>__65</vt:lpstr>
      <vt:lpstr>__66</vt:lpstr>
      <vt:lpstr>__67</vt:lpstr>
      <vt:lpstr>__68</vt:lpstr>
      <vt:lpstr>__69</vt:lpstr>
      <vt:lpstr>__70</vt:lpstr>
      <vt:lpstr>__71</vt:lpstr>
      <vt:lpstr>__72</vt:lpstr>
      <vt:lpstr>__73</vt:lpstr>
      <vt:lpstr>__74</vt:lpstr>
      <vt:lpstr>__75</vt:lpstr>
      <vt:lpstr>__76</vt:lpstr>
      <vt:lpstr>__77</vt:lpstr>
      <vt:lpstr>__78</vt:lpstr>
      <vt:lpstr>__79</vt:lpstr>
      <vt:lpstr>__80</vt:lpstr>
      <vt:lpstr>__o1</vt:lpstr>
      <vt:lpstr>__o2</vt:lpstr>
      <vt:lpstr>__o3</vt:lpstr>
      <vt:lpstr>__o4</vt:lpstr>
      <vt:lpstr>__o5</vt:lpstr>
      <vt:lpstr>__o6</vt:lpstr>
      <vt:lpstr>__o7</vt:lpstr>
      <vt:lpstr>__o8</vt:lpstr>
      <vt:lpstr>__o9</vt:lpstr>
      <vt:lpstr>Cockpit!__s1</vt:lpstr>
      <vt:lpstr>__s1</vt:lpstr>
      <vt:lpstr>Cockpit!__s10</vt:lpstr>
      <vt:lpstr>__s10</vt:lpstr>
      <vt:lpstr>Cockpit!__s11</vt:lpstr>
      <vt:lpstr>__s11</vt:lpstr>
      <vt:lpstr>Cockpit!__s12</vt:lpstr>
      <vt:lpstr>__s12</vt:lpstr>
      <vt:lpstr>Cockpit!__s13</vt:lpstr>
      <vt:lpstr>__s13</vt:lpstr>
      <vt:lpstr>Cockpit!__s14</vt:lpstr>
      <vt:lpstr>__s14</vt:lpstr>
      <vt:lpstr>Cockpit!__s15</vt:lpstr>
      <vt:lpstr>__s15</vt:lpstr>
      <vt:lpstr>Cockpit!__s16</vt:lpstr>
      <vt:lpstr>__s16</vt:lpstr>
      <vt:lpstr>Cockpit!__s17</vt:lpstr>
      <vt:lpstr>__s17</vt:lpstr>
      <vt:lpstr>Cockpit!__s18</vt:lpstr>
      <vt:lpstr>__s18</vt:lpstr>
      <vt:lpstr>Cockpit!__s19</vt:lpstr>
      <vt:lpstr>__s19</vt:lpstr>
      <vt:lpstr>Cockpit!__s2</vt:lpstr>
      <vt:lpstr>__s2</vt:lpstr>
      <vt:lpstr>Cockpit!__s20</vt:lpstr>
      <vt:lpstr>__s20</vt:lpstr>
      <vt:lpstr>Cockpit!__s21</vt:lpstr>
      <vt:lpstr>__s21</vt:lpstr>
      <vt:lpstr>Cockpit!__s22</vt:lpstr>
      <vt:lpstr>__s22</vt:lpstr>
      <vt:lpstr>Cockpit!__s23</vt:lpstr>
      <vt:lpstr>__s23</vt:lpstr>
      <vt:lpstr>Cockpit!__s24</vt:lpstr>
      <vt:lpstr>__s24</vt:lpstr>
      <vt:lpstr>Cockpit!__s25</vt:lpstr>
      <vt:lpstr>__s25</vt:lpstr>
      <vt:lpstr>Cockpit!__s26</vt:lpstr>
      <vt:lpstr>__s26</vt:lpstr>
      <vt:lpstr>Cockpit!__s27</vt:lpstr>
      <vt:lpstr>__s27</vt:lpstr>
      <vt:lpstr>Cockpit!__s28</vt:lpstr>
      <vt:lpstr>__s28</vt:lpstr>
      <vt:lpstr>Cockpit!__s29</vt:lpstr>
      <vt:lpstr>__s29</vt:lpstr>
      <vt:lpstr>Cockpit!__s3</vt:lpstr>
      <vt:lpstr>__s3</vt:lpstr>
      <vt:lpstr>Cockpit!__s30</vt:lpstr>
      <vt:lpstr>__s30</vt:lpstr>
      <vt:lpstr>Cockpit!__s31</vt:lpstr>
      <vt:lpstr>__s31</vt:lpstr>
      <vt:lpstr>Cockpit!__s32</vt:lpstr>
      <vt:lpstr>__s32</vt:lpstr>
      <vt:lpstr>Cockpit!__s33</vt:lpstr>
      <vt:lpstr>__s33</vt:lpstr>
      <vt:lpstr>Cockpit!__s34</vt:lpstr>
      <vt:lpstr>__s34</vt:lpstr>
      <vt:lpstr>Cockpit!__s35</vt:lpstr>
      <vt:lpstr>__s35</vt:lpstr>
      <vt:lpstr>Cockpit!__s36</vt:lpstr>
      <vt:lpstr>__s36</vt:lpstr>
      <vt:lpstr>Cockpit!__s37</vt:lpstr>
      <vt:lpstr>__s37</vt:lpstr>
      <vt:lpstr>Cockpit!__s38</vt:lpstr>
      <vt:lpstr>__s38</vt:lpstr>
      <vt:lpstr>Cockpit!__s39</vt:lpstr>
      <vt:lpstr>__s39</vt:lpstr>
      <vt:lpstr>Cockpit!__s4</vt:lpstr>
      <vt:lpstr>__s4</vt:lpstr>
      <vt:lpstr>Cockpit!__s40</vt:lpstr>
      <vt:lpstr>__s40</vt:lpstr>
      <vt:lpstr>Cockpit!__s5</vt:lpstr>
      <vt:lpstr>__s5</vt:lpstr>
      <vt:lpstr>Cockpit!__s6</vt:lpstr>
      <vt:lpstr>__s6</vt:lpstr>
      <vt:lpstr>Cockpit!__s7</vt:lpstr>
      <vt:lpstr>__s7</vt:lpstr>
      <vt:lpstr>Cockpit!__s8</vt:lpstr>
      <vt:lpstr>__s8</vt:lpstr>
      <vt:lpstr>Cockpit!__s9</vt:lpstr>
      <vt:lpstr>__s9</vt:lpstr>
      <vt:lpstr>_o1</vt:lpstr>
      <vt:lpstr>_o10</vt:lpstr>
      <vt:lpstr>_o11</vt:lpstr>
      <vt:lpstr>_o12</vt:lpstr>
      <vt:lpstr>_o13</vt:lpstr>
      <vt:lpstr>_o14</vt:lpstr>
      <vt:lpstr>_o15</vt:lpstr>
      <vt:lpstr>_o16</vt:lpstr>
      <vt:lpstr>_o17</vt:lpstr>
      <vt:lpstr>_o18</vt:lpstr>
      <vt:lpstr>_o19</vt:lpstr>
      <vt:lpstr>_o2</vt:lpstr>
      <vt:lpstr>_o20</vt:lpstr>
      <vt:lpstr>_o21</vt:lpstr>
      <vt:lpstr>_o22</vt:lpstr>
      <vt:lpstr>_o23</vt:lpstr>
      <vt:lpstr>_o24</vt:lpstr>
      <vt:lpstr>_o25</vt:lpstr>
      <vt:lpstr>_o26</vt:lpstr>
      <vt:lpstr>_o27</vt:lpstr>
      <vt:lpstr>_o28</vt:lpstr>
      <vt:lpstr>_o29</vt:lpstr>
      <vt:lpstr>_o3</vt:lpstr>
      <vt:lpstr>_o30</vt:lpstr>
      <vt:lpstr>_o31</vt:lpstr>
      <vt:lpstr>_o32</vt:lpstr>
      <vt:lpstr>_o33</vt:lpstr>
      <vt:lpstr>_o34</vt:lpstr>
      <vt:lpstr>_o35</vt:lpstr>
      <vt:lpstr>_o36</vt:lpstr>
      <vt:lpstr>_o37</vt:lpstr>
      <vt:lpstr>_o38</vt:lpstr>
      <vt:lpstr>_o39</vt:lpstr>
      <vt:lpstr>_o4</vt:lpstr>
      <vt:lpstr>_o40</vt:lpstr>
      <vt:lpstr>_o41</vt:lpstr>
      <vt:lpstr>_o42</vt:lpstr>
      <vt:lpstr>_o43</vt:lpstr>
      <vt:lpstr>_o44</vt:lpstr>
      <vt:lpstr>_o45</vt:lpstr>
      <vt:lpstr>_o46</vt:lpstr>
      <vt:lpstr>_o47</vt:lpstr>
      <vt:lpstr>_o48</vt:lpstr>
      <vt:lpstr>_o49</vt:lpstr>
      <vt:lpstr>_o5</vt:lpstr>
      <vt:lpstr>_o50</vt:lpstr>
      <vt:lpstr>_o51</vt:lpstr>
      <vt:lpstr>_o52</vt:lpstr>
      <vt:lpstr>_o53</vt:lpstr>
      <vt:lpstr>_o54</vt:lpstr>
      <vt:lpstr>_o55</vt:lpstr>
      <vt:lpstr>_o56</vt:lpstr>
      <vt:lpstr>_o57</vt:lpstr>
      <vt:lpstr>_o58</vt:lpstr>
      <vt:lpstr>_o59</vt:lpstr>
      <vt:lpstr>_o6</vt:lpstr>
      <vt:lpstr>_o60</vt:lpstr>
      <vt:lpstr>_o61</vt:lpstr>
      <vt:lpstr>_o62</vt:lpstr>
      <vt:lpstr>_o63</vt:lpstr>
      <vt:lpstr>_o64</vt:lpstr>
      <vt:lpstr>_o65</vt:lpstr>
      <vt:lpstr>_o66</vt:lpstr>
      <vt:lpstr>_o67</vt:lpstr>
      <vt:lpstr>_o68</vt:lpstr>
      <vt:lpstr>_o69</vt:lpstr>
      <vt:lpstr>_o7</vt:lpstr>
      <vt:lpstr>_o70</vt:lpstr>
      <vt:lpstr>_o71</vt:lpstr>
      <vt:lpstr>_o72</vt:lpstr>
      <vt:lpstr>_o73</vt:lpstr>
      <vt:lpstr>_o74</vt:lpstr>
      <vt:lpstr>_o75</vt:lpstr>
      <vt:lpstr>_o76</vt:lpstr>
      <vt:lpstr>_o77</vt:lpstr>
      <vt:lpstr>_o78</vt:lpstr>
      <vt:lpstr>_o79</vt:lpstr>
      <vt:lpstr>_o8</vt:lpstr>
      <vt:lpstr>_o80</vt:lpstr>
      <vt:lpstr>_o9</vt:lpstr>
      <vt:lpstr>_s1</vt:lpstr>
      <vt:lpstr>_s10</vt:lpstr>
      <vt:lpstr>_s11</vt:lpstr>
      <vt:lpstr>_s12</vt:lpstr>
      <vt:lpstr>_s13</vt:lpstr>
      <vt:lpstr>_s14</vt:lpstr>
      <vt:lpstr>_s15</vt:lpstr>
      <vt:lpstr>_s16</vt:lpstr>
      <vt:lpstr>_s17</vt:lpstr>
      <vt:lpstr>_s18</vt:lpstr>
      <vt:lpstr>_s19</vt:lpstr>
      <vt:lpstr>_s2</vt:lpstr>
      <vt:lpstr>_s20</vt:lpstr>
      <vt:lpstr>_s21</vt:lpstr>
      <vt:lpstr>_s22</vt:lpstr>
      <vt:lpstr>_s23</vt:lpstr>
      <vt:lpstr>_s24</vt:lpstr>
      <vt:lpstr>_s25</vt:lpstr>
      <vt:lpstr>_s26</vt:lpstr>
      <vt:lpstr>_s27</vt:lpstr>
      <vt:lpstr>_s28</vt:lpstr>
      <vt:lpstr>_s29</vt:lpstr>
      <vt:lpstr>_s3</vt:lpstr>
      <vt:lpstr>_s30</vt:lpstr>
      <vt:lpstr>_s31</vt:lpstr>
      <vt:lpstr>_s32</vt:lpstr>
      <vt:lpstr>_s33</vt:lpstr>
      <vt:lpstr>_s34</vt:lpstr>
      <vt:lpstr>_s35</vt:lpstr>
      <vt:lpstr>_s36</vt:lpstr>
      <vt:lpstr>_s37</vt:lpstr>
      <vt:lpstr>_s38</vt:lpstr>
      <vt:lpstr>_s39</vt:lpstr>
      <vt:lpstr>_s4</vt:lpstr>
      <vt:lpstr>_s40</vt:lpstr>
      <vt:lpstr>_s5</vt:lpstr>
      <vt:lpstr>_s6</vt:lpstr>
      <vt:lpstr>_s7</vt:lpstr>
      <vt:lpstr>_s8</vt:lpstr>
      <vt:lpstr>_s9</vt:lpstr>
      <vt:lpstr>Datum</vt:lpstr>
      <vt:lpstr>'2BP'!Druckbereich</vt:lpstr>
      <vt:lpstr>'2BSC'!Druckbereich</vt:lpstr>
      <vt:lpstr>'2Cockpit'!Druckbereich</vt:lpstr>
      <vt:lpstr>'2Projektmgmt'!Druckbereich</vt:lpstr>
      <vt:lpstr>'2Strategie'!Druckbereich</vt:lpstr>
      <vt:lpstr>Benchmark!Druckbereich</vt:lpstr>
      <vt:lpstr>Canvas!Druckbereich</vt:lpstr>
      <vt:lpstr>Chances!Druckbereich</vt:lpstr>
      <vt:lpstr>Cockpit!Druckbereich</vt:lpstr>
      <vt:lpstr>Consumer_Trend!Druckbereich</vt:lpstr>
      <vt:lpstr>Eisenhower!Druckbereich</vt:lpstr>
      <vt:lpstr>Fehler!Druckbereich</vt:lpstr>
      <vt:lpstr>Fishbone!Druckbereich</vt:lpstr>
      <vt:lpstr>Forces!Druckbereich</vt:lpstr>
      <vt:lpstr>Fuehrung!Druckbereich</vt:lpstr>
      <vt:lpstr>Kernkompetenzen!Druckbereich</vt:lpstr>
      <vt:lpstr>Kommunikation!Druckbereich</vt:lpstr>
      <vt:lpstr>KostenNutzen!Druckbereich</vt:lpstr>
      <vt:lpstr>KPI!Druckbereich</vt:lpstr>
      <vt:lpstr>Leadership!Druckbereich</vt:lpstr>
      <vt:lpstr>Massnahmen!Druckbereich</vt:lpstr>
      <vt:lpstr>MatrixIdee!Druckbereich</vt:lpstr>
      <vt:lpstr>oIndikatoren!Druckbereich</vt:lpstr>
      <vt:lpstr>Pareto!Druckbereich</vt:lpstr>
      <vt:lpstr>Personal!Druckbereich</vt:lpstr>
      <vt:lpstr>Prozesse!Druckbereich</vt:lpstr>
      <vt:lpstr>Reklamationen!Druckbereich</vt:lpstr>
      <vt:lpstr>Risikomgmt!Druckbereich</vt:lpstr>
      <vt:lpstr>sIndikatoren!Druckbereich</vt:lpstr>
      <vt:lpstr>Stakeholder!Druckbereich</vt:lpstr>
      <vt:lpstr>Struktur!Druckbereich</vt:lpstr>
      <vt:lpstr>'Swot-Analyse'!Druckbereich</vt:lpstr>
      <vt:lpstr>Systeme!Druckbereich</vt:lpstr>
      <vt:lpstr>Trends!Druckbereich</vt:lpstr>
      <vt:lpstr>'2BP'!Drucktitel</vt:lpstr>
      <vt:lpstr>'2BSC'!Drucktitel</vt:lpstr>
      <vt:lpstr>'2Cockpit'!Drucktitel</vt:lpstr>
      <vt:lpstr>'2Projektmgmt'!Drucktitel</vt:lpstr>
      <vt:lpstr>'2Strategie'!Drucktitel</vt:lpstr>
      <vt:lpstr>Canvas!Drucktitel</vt:lpstr>
      <vt:lpstr>Chances!Drucktitel</vt:lpstr>
      <vt:lpstr>Cockpit!Drucktitel</vt:lpstr>
      <vt:lpstr>Consumer_Trend!Drucktitel</vt:lpstr>
      <vt:lpstr>Eisenhower!Drucktitel</vt:lpstr>
      <vt:lpstr>Forces!Drucktitel</vt:lpstr>
      <vt:lpstr>Kernkompetenzen!Drucktitel</vt:lpstr>
      <vt:lpstr>Kommunikation!Drucktitel</vt:lpstr>
      <vt:lpstr>KPI!Drucktitel</vt:lpstr>
      <vt:lpstr>Leadership!Drucktitel</vt:lpstr>
      <vt:lpstr>Massnahmen!Drucktitel</vt:lpstr>
      <vt:lpstr>Personal!Drucktitel</vt:lpstr>
      <vt:lpstr>sIndikatoren!durchAlterDerMA</vt:lpstr>
      <vt:lpstr>graph_2_stakeholder</vt:lpstr>
      <vt:lpstr>Chances!graph_chances</vt:lpstr>
      <vt:lpstr>graph_forces</vt:lpstr>
      <vt:lpstr>Graph_Kompetenzen</vt:lpstr>
      <vt:lpstr>Graph_Kunden</vt:lpstr>
      <vt:lpstr>graph_pestel</vt:lpstr>
      <vt:lpstr>Graph_Risk</vt:lpstr>
      <vt:lpstr>Eisenhower!graph_stakeholder</vt:lpstr>
      <vt:lpstr>Personal!graph_stakeholder</vt:lpstr>
      <vt:lpstr>graph_stakeholder</vt:lpstr>
      <vt:lpstr>Cockpit!rechts_massnahmen</vt:lpstr>
      <vt:lpstr>Sprachen</vt:lpstr>
      <vt:lpstr>Cockpit!Strategie_1</vt:lpstr>
      <vt:lpstr>Strategie_1</vt:lpstr>
      <vt:lpstr>Cockpit!Strategie_10</vt:lpstr>
      <vt:lpstr>Strategie_10</vt:lpstr>
      <vt:lpstr>Cockpit!Strategie_2</vt:lpstr>
      <vt:lpstr>Strategie_2</vt:lpstr>
      <vt:lpstr>Cockpit!Strategie_3</vt:lpstr>
      <vt:lpstr>Strategie_3</vt:lpstr>
      <vt:lpstr>Cockpit!Strategie_4</vt:lpstr>
      <vt:lpstr>Strategie_4</vt:lpstr>
      <vt:lpstr>Cockpit!Strategie_5</vt:lpstr>
      <vt:lpstr>Strategie_5</vt:lpstr>
      <vt:lpstr>Cockpit!Strategie_6</vt:lpstr>
      <vt:lpstr>Strategie_6</vt:lpstr>
      <vt:lpstr>Cockpit!Strategie_7</vt:lpstr>
      <vt:lpstr>Strategie_7</vt:lpstr>
      <vt:lpstr>Cockpit!Strategie_8</vt:lpstr>
      <vt:lpstr>Strategie_8</vt:lpstr>
      <vt:lpstr>Cockpit!Strategie_9</vt:lpstr>
      <vt:lpstr>Strategie_9</vt:lpstr>
      <vt:lpstr>top</vt:lpstr>
      <vt:lpstr>Chances!top_chances</vt:lpstr>
      <vt:lpstr>top_forces</vt:lpstr>
      <vt:lpstr>'2BP'!top_kennzahlen</vt:lpstr>
      <vt:lpstr>'2BSC'!top_kennzahlen</vt:lpstr>
      <vt:lpstr>'2Cockpit'!top_kennzahlen</vt:lpstr>
      <vt:lpstr>'2Projektmgmt'!top_kennzahlen</vt:lpstr>
      <vt:lpstr>'2Strategie'!top_kennzahlen</vt:lpstr>
      <vt:lpstr>Stakeholder!top_kunden</vt:lpstr>
      <vt:lpstr>Cockpit!top_massnahmen</vt:lpstr>
      <vt:lpstr>top_massnahmen</vt:lpstr>
      <vt:lpstr>Kommunikation!top_Porter</vt:lpstr>
      <vt:lpstr>top_swot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Quality Management</dc:title>
  <dc:creator>iSerge</dc:creator>
  <cp:lastModifiedBy>Imboden Serge</cp:lastModifiedBy>
  <cp:lastPrinted>2014-11-30T07:46:11Z</cp:lastPrinted>
  <dcterms:created xsi:type="dcterms:W3CDTF">1901-01-01T04:00:00Z</dcterms:created>
  <dcterms:modified xsi:type="dcterms:W3CDTF">2026-01-27T10:31:52Z</dcterms:modified>
</cp:coreProperties>
</file>